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https://mmambiente-my.sharepoint.com/personal/huellachile_mma_gob_cl/Documents/18 Teamwork dreamwork/03 NMP/04 Revisión y actualización FE/Organizaciones/"/>
    </mc:Choice>
  </mc:AlternateContent>
  <xr:revisionPtr revIDLastSave="5221" documentId="11_31F7F7A8A638EA306BA8296B995670EC86217BA9" xr6:coauthVersionLast="47" xr6:coauthVersionMax="47" xr10:uidLastSave="{94A26707-12B8-4486-BAFA-32C1A2AED5F3}"/>
  <workbookProtection workbookAlgorithmName="SHA-512" workbookHashValue="CE6hWtX+ZUmQlb2x9Km4znXn4XpPwwBPn7I/8BkSY1fNtRJ56CYnIyQDhy5QdKIjBxviuMSRxu5cAJXKEJtJNw==" workbookSaltValue="B/Jq5oxzKtWiCCIrbSIvVw==" workbookSpinCount="100000" lockStructure="1"/>
  <bookViews>
    <workbookView xWindow="-108" yWindow="-108" windowWidth="23256" windowHeight="13896" xr2:uid="{52191265-2878-4909-8562-6F5265612574}"/>
  </bookViews>
  <sheets>
    <sheet name="INICIO" sheetId="55" r:id="rId1"/>
    <sheet name="RESUMEN" sheetId="57" r:id="rId2"/>
    <sheet name="CONTROL DE CAMBIOS" sheetId="58" r:id="rId3"/>
    <sheet name="1.1 Combustión estacionaria" sheetId="2" r:id="rId4"/>
    <sheet name="V2 CH2 T2.2" sheetId="8" state="hidden" r:id="rId5"/>
    <sheet name="V2 CH2 T2.3" sheetId="9" state="hidden" r:id="rId6"/>
    <sheet name="1.2 Combustión móvil" sheetId="6" r:id="rId7"/>
    <sheet name="1.1 V2 CH2 T2.4" sheetId="4" r:id="rId8"/>
    <sheet name="1.2 V2 CH3 T3.2.1" sheetId="11" r:id="rId9"/>
    <sheet name="1.2 V2 CH3 T3.2.2" sheetId="12" r:id="rId10"/>
    <sheet name="1.1 y 1.2CUADROA2 - BNE 2020-21" sheetId="5" r:id="rId11"/>
    <sheet name="V2 CH3 T3.3.1" sheetId="13" state="hidden" r:id="rId12"/>
    <sheet name="V2 CH3 T3.4.1" sheetId="14" state="hidden" r:id="rId13"/>
    <sheet name="V2 CH3 T3.5.2" sheetId="15" state="hidden" r:id="rId14"/>
    <sheet name="V2 CH3 T3.5.3" sheetId="16" state="hidden" r:id="rId15"/>
    <sheet name="V2 CH3 T3.6.4" sheetId="17" state="hidden" r:id="rId16"/>
    <sheet name="V2 CH3 T3.6.5" sheetId="18" state="hidden" r:id="rId17"/>
    <sheet name="1.3 Procesos industriales" sheetId="21" r:id="rId18"/>
    <sheet name="1.3 P.I. Cemento" sheetId="25" r:id="rId19"/>
    <sheet name="1.3 P.I. Cal" sheetId="26" r:id="rId20"/>
    <sheet name="1.3 P.I. Vidrio" sheetId="28" r:id="rId21"/>
    <sheet name="1.3 P.I. Hierro, Acero y Coque" sheetId="47" r:id="rId22"/>
    <sheet name="1.3 P.I. Ácido Nítrico" sheetId="48" r:id="rId23"/>
    <sheet name="1.4 Emisiones fugitivas" sheetId="22" r:id="rId24"/>
    <sheet name="1.4 AR5 CH8  T8.A.1" sheetId="24" r:id="rId25"/>
    <sheet name="1.4 V3 CH7 T7.8" sheetId="23" r:id="rId26"/>
    <sheet name="2.1 Electricidad" sheetId="10" r:id="rId27"/>
    <sheet name="2.2 Perdidas por T&amp;D" sheetId="46" r:id="rId28"/>
    <sheet name="2.3 Adq. de otras energías" sheetId="7" r:id="rId29"/>
    <sheet name="2.3 V2 CH2 T2.2" sheetId="51" r:id="rId30"/>
    <sheet name="3.1 Adq. Bienes y servicios" sheetId="29" r:id="rId31"/>
    <sheet name="3.1 Fertilizantes" sheetId="52" r:id="rId32"/>
    <sheet name="3.1 Material use" sheetId="30" r:id="rId33"/>
    <sheet name="3.1 WTT- fuels" sheetId="31" r:id="rId34"/>
    <sheet name="3.1 WTT- bioenergy" sheetId="32" r:id="rId35"/>
    <sheet name="3.1 Water treatment" sheetId="34" r:id="rId36"/>
    <sheet name="3.1 Water supply" sheetId="33" r:id="rId37"/>
    <sheet name="3.1 Hotel stay" sheetId="53" r:id="rId38"/>
    <sheet name="3.1 Homeworking" sheetId="54" r:id="rId39"/>
    <sheet name="3.2 Transporte de personas" sheetId="35" r:id="rId40"/>
    <sheet name="3.2 Business travel- air" sheetId="38" r:id="rId41"/>
    <sheet name="3.2 Business travel- land" sheetId="37" r:id="rId42"/>
    <sheet name="3.2 Passenger vehicles" sheetId="36" r:id="rId43"/>
    <sheet name="3.3 Transporte de carga" sheetId="40" r:id="rId44"/>
    <sheet name="3.3 Freighting goods" sheetId="44" r:id="rId45"/>
    <sheet name="3.4 Transporte de residuos" sheetId="41" r:id="rId46"/>
    <sheet name="3.5 Uso de productos" sheetId="42" r:id="rId47"/>
    <sheet name="3.6 Trat. yo disp. de residuos" sheetId="43" r:id="rId48"/>
    <sheet name="3.6 Waste disposal" sheetId="45" r:id="rId49"/>
  </sheets>
  <externalReferences>
    <externalReference r:id="rId50"/>
  </externalReferences>
  <definedNames>
    <definedName name="\a" localSheetId="19">#REF!</definedName>
    <definedName name="\a">#REF!</definedName>
    <definedName name="\b" localSheetId="19">#REF!</definedName>
    <definedName name="\b">#REF!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_xlnm._FilterDatabase" localSheetId="3" hidden="1">'1.1 Combustión estacionaria'!$B$15:$AF$48</definedName>
    <definedName name="_xlnm._FilterDatabase" localSheetId="6" hidden="1">'1.2 Combustión móvil'!$B$15:$AF$24</definedName>
    <definedName name="_xlnm._FilterDatabase" localSheetId="17" hidden="1">'1.3 Procesos industriales'!$B$11:$V$11</definedName>
    <definedName name="_xlnm._FilterDatabase" localSheetId="24" hidden="1">'1.4 AR5 CH8  T8.A.1'!$A$3:$N$217</definedName>
    <definedName name="_xlnm._FilterDatabase" localSheetId="23" hidden="1">'1.4 Emisiones fugitivas'!$B$6:$I$6</definedName>
    <definedName name="_xlnm._FilterDatabase" localSheetId="26" hidden="1">'2.1 Electricidad'!$B$9:$G$138</definedName>
    <definedName name="_xlnm._FilterDatabase" localSheetId="27" hidden="1">'2.2 Perdidas por T&amp;D'!$B$11:$G$140</definedName>
    <definedName name="_xlnm._FilterDatabase" localSheetId="28" hidden="1">'2.3 Adq. de otras energías'!$B$15:$AF$24</definedName>
    <definedName name="_xlnm._FilterDatabase" localSheetId="30" hidden="1">'3.1 Adq. Bienes y servicios'!$A$6:$F$93</definedName>
    <definedName name="_xlnm._FilterDatabase" localSheetId="39" hidden="1">'3.2 Transporte de personas'!$B$6:$I$6</definedName>
    <definedName name="_xlnm._FilterDatabase" localSheetId="46" hidden="1">'3.5 Uso de productos'!$B$15:$AF$48</definedName>
    <definedName name="_xlnm._FilterDatabase" localSheetId="47" hidden="1">'3.6 Trat. yo disp. de residuos'!$B$6:$H$78</definedName>
    <definedName name="_xlnm._FilterDatabase" localSheetId="2" hidden="1">'CONTROL DE CAMBIOS'!$B$8:$E$8</definedName>
    <definedName name="_xlnm._FilterDatabase" localSheetId="1" hidden="1">RESUMEN!$C$8:$L$678</definedName>
    <definedName name="a" localSheetId="19">#REF!</definedName>
    <definedName name="a">#REF!</definedName>
    <definedName name="Banco_dados_IM" localSheetId="19">#REF!</definedName>
    <definedName name="Banco_dados_IM">#REF!</definedName>
    <definedName name="_xlnm.Database" localSheetId="19">#REF!</definedName>
    <definedName name="_xlnm.Database">#REF!</definedName>
    <definedName name="dd">#REF!</definedName>
    <definedName name="GWP.CH4">[1]FE_HuellaChile_2017!$B$6</definedName>
    <definedName name="GWP.CO2">[1]FE_HuellaChile_2017!$B$5</definedName>
    <definedName name="GWP.N2O">[1]FE_HuellaChile_2017!$B$7</definedName>
    <definedName name="Impact_flag">#N/A</definedName>
    <definedName name="Index">#N/A</definedName>
    <definedName name="IndexArray">#N/A</definedName>
    <definedName name="j">#REF!</definedName>
    <definedName name="kcal.a.kJ">[1]FE_HuellaChile_2017!$B$8</definedName>
    <definedName name="LatestChange">#N/A</definedName>
    <definedName name="LatestPerson">#N/A</definedName>
    <definedName name="LatestVersion">#N/A</definedName>
    <definedName name="Macro_status">#N/A</definedName>
    <definedName name="ModelName">#N/A</definedName>
    <definedName name="ºººº" localSheetId="19">#REF!</definedName>
    <definedName name="ºººº">#REF!</definedName>
    <definedName name="PC_G">[1]FE_HuellaChile_2017!$B$13</definedName>
    <definedName name="PC_SyL">[1]FE_HuellaChile_2017!$B$12</definedName>
    <definedName name="Q" localSheetId="19">#REF!</definedName>
    <definedName name="Q">#REF!</definedName>
    <definedName name="Quality_flag">#N/A</definedName>
    <definedName name="Risk_flag">#N/A</definedName>
    <definedName name="s" localSheetId="19">#REF!</definedName>
    <definedName name="s">#REF!</definedName>
    <definedName name="SECR_Cars_MarketSegment_Column">#N/A</definedName>
    <definedName name="SECR_Cars_MarketSegment_RANGE">#N/A</definedName>
    <definedName name="SECR_Cars_MarketSegment_Row">#N/A</definedName>
    <definedName name="Status_Checking">#N/A</definedName>
    <definedName name="Status_Overall">#N/A</definedName>
    <definedName name="Status_Update">#N/A</definedName>
    <definedName name="t_Bioenergy">#N/A</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#N/A</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#N/A</definedName>
    <definedName name="t_Fuels_LY">#N/A</definedName>
    <definedName name="t_Heat_and_steam">#N/A</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#N/A</definedName>
    <definedName name="UpdateYear">#N/A</definedName>
    <definedName name="YesNo">#N/A</definedName>
  </definedNames>
  <calcPr calcId="191028"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7" i="7" l="1"/>
  <c r="AC18" i="7"/>
  <c r="AC19" i="7"/>
  <c r="AC20" i="7"/>
  <c r="AC21" i="7"/>
  <c r="AC22" i="7"/>
  <c r="I412" i="57" s="1" a="1"/>
  <c r="I412" i="57" s="1"/>
  <c r="AC23" i="7"/>
  <c r="AC24" i="7"/>
  <c r="I414" i="57" s="1" a="1"/>
  <c r="I414" i="57" s="1"/>
  <c r="AC16" i="7"/>
  <c r="F13" i="46"/>
  <c r="F14" i="46"/>
  <c r="I279" i="57" s="1" a="1"/>
  <c r="I279" i="57" s="1"/>
  <c r="F15" i="46"/>
  <c r="I280" i="57" s="1" a="1"/>
  <c r="I280" i="57" s="1"/>
  <c r="F16" i="46"/>
  <c r="I281" i="57" s="1" a="1"/>
  <c r="I281" i="57" s="1"/>
  <c r="F17" i="46"/>
  <c r="I282" i="57" s="1" a="1"/>
  <c r="I282" i="57" s="1"/>
  <c r="F18" i="46"/>
  <c r="I283" i="57" s="1" a="1"/>
  <c r="I283" i="57" s="1"/>
  <c r="F19" i="46"/>
  <c r="I284" i="57" s="1" a="1"/>
  <c r="I284" i="57" s="1"/>
  <c r="F20" i="46"/>
  <c r="F21" i="46"/>
  <c r="I286" i="57" s="1" a="1"/>
  <c r="I286" i="57" s="1"/>
  <c r="F22" i="46"/>
  <c r="F23" i="46"/>
  <c r="I288" i="57" s="1" a="1"/>
  <c r="I288" i="57" s="1"/>
  <c r="F24" i="46"/>
  <c r="I289" i="57" s="1" a="1"/>
  <c r="I289" i="57" s="1"/>
  <c r="F25" i="46"/>
  <c r="F26" i="46"/>
  <c r="I291" i="57" s="1" a="1"/>
  <c r="I291" i="57" s="1"/>
  <c r="F27" i="46"/>
  <c r="I292" i="57" s="1" a="1"/>
  <c r="I292" i="57" s="1"/>
  <c r="F28" i="46"/>
  <c r="F29" i="46"/>
  <c r="F30" i="46"/>
  <c r="F31" i="46"/>
  <c r="I296" i="57" s="1" a="1"/>
  <c r="I296" i="57" s="1"/>
  <c r="F32" i="46"/>
  <c r="F33" i="46"/>
  <c r="I298" i="57" s="1" a="1"/>
  <c r="I298" i="57" s="1"/>
  <c r="F34" i="46"/>
  <c r="F35" i="46"/>
  <c r="I300" i="57" s="1" a="1"/>
  <c r="I300" i="57" s="1"/>
  <c r="F36" i="46"/>
  <c r="F37" i="46"/>
  <c r="F38" i="46"/>
  <c r="F39" i="46"/>
  <c r="F40" i="46"/>
  <c r="F41" i="46"/>
  <c r="F42" i="46"/>
  <c r="F43" i="46"/>
  <c r="I308" i="57" s="1" a="1"/>
  <c r="I308" i="57" s="1"/>
  <c r="F44" i="46"/>
  <c r="F45" i="46"/>
  <c r="F46" i="46"/>
  <c r="F47" i="46"/>
  <c r="F48" i="46"/>
  <c r="I313" i="57" s="1" a="1"/>
  <c r="I313" i="57" s="1"/>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2" i="46"/>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0" i="10"/>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7" i="22"/>
  <c r="S54" i="21"/>
  <c r="S55" i="21"/>
  <c r="S56" i="21"/>
  <c r="S57" i="21"/>
  <c r="S58" i="21"/>
  <c r="S59" i="21"/>
  <c r="S60" i="21"/>
  <c r="U60" i="21" s="1"/>
  <c r="I85" i="57" s="1" a="1"/>
  <c r="I85" i="57" s="1"/>
  <c r="S61" i="21"/>
  <c r="S62" i="21"/>
  <c r="S63" i="21"/>
  <c r="S64" i="21"/>
  <c r="S65" i="21"/>
  <c r="S66" i="21"/>
  <c r="U66" i="21" s="1"/>
  <c r="I91" i="57" s="1" a="1"/>
  <c r="I91" i="57" s="1"/>
  <c r="S67" i="21"/>
  <c r="U67" i="21" s="1"/>
  <c r="I92" i="57" s="1" a="1"/>
  <c r="I92" i="57" s="1"/>
  <c r="S53" i="21"/>
  <c r="U53" i="21" s="1"/>
  <c r="I78" i="57" s="1" a="1"/>
  <c r="I78" i="57" s="1"/>
  <c r="S32" i="21"/>
  <c r="U32" i="21" s="1"/>
  <c r="I64" i="57" s="1" a="1"/>
  <c r="I64" i="57" s="1"/>
  <c r="S33" i="21"/>
  <c r="S34" i="21"/>
  <c r="S35" i="21"/>
  <c r="S36" i="21"/>
  <c r="U36" i="21" s="1"/>
  <c r="I68" i="57" s="1" a="1"/>
  <c r="I68" i="57" s="1"/>
  <c r="S37" i="21"/>
  <c r="S38" i="21"/>
  <c r="U38" i="21" s="1"/>
  <c r="I70" i="57" s="1" a="1"/>
  <c r="I70" i="57" s="1"/>
  <c r="S39" i="21"/>
  <c r="U39" i="21" s="1"/>
  <c r="I71" i="57" s="1" a="1"/>
  <c r="I71" i="57" s="1"/>
  <c r="S40" i="21"/>
  <c r="U40" i="21" s="1"/>
  <c r="I72" i="57" s="1" a="1"/>
  <c r="I72" i="57" s="1"/>
  <c r="S41" i="21"/>
  <c r="S42" i="21"/>
  <c r="S43" i="21"/>
  <c r="S44" i="21"/>
  <c r="U44" i="21" s="1"/>
  <c r="S45" i="21"/>
  <c r="U45" i="21" s="1"/>
  <c r="I77" i="57" s="1" a="1"/>
  <c r="I77" i="57" s="1"/>
  <c r="S31" i="21"/>
  <c r="U31" i="21" s="1"/>
  <c r="I63" i="57" s="1" a="1"/>
  <c r="I63" i="57" s="1"/>
  <c r="S13" i="21"/>
  <c r="U13" i="21" s="1"/>
  <c r="I52" i="57" s="1" a="1"/>
  <c r="I52" i="57" s="1"/>
  <c r="S14" i="21"/>
  <c r="U14" i="21" s="1"/>
  <c r="I53" i="57" s="1" a="1"/>
  <c r="I53" i="57" s="1"/>
  <c r="S15" i="21"/>
  <c r="S16" i="21"/>
  <c r="S17" i="21"/>
  <c r="S18" i="21"/>
  <c r="S19" i="21"/>
  <c r="U19" i="21" s="1"/>
  <c r="I58" i="57" s="1" a="1"/>
  <c r="I58" i="57" s="1"/>
  <c r="S20" i="21"/>
  <c r="U20" i="21" s="1"/>
  <c r="I59" i="57" s="1" a="1"/>
  <c r="I59" i="57" s="1"/>
  <c r="S21" i="21"/>
  <c r="U21" i="21" s="1"/>
  <c r="I60" i="57" s="1" a="1"/>
  <c r="I60" i="57" s="1"/>
  <c r="S22" i="21"/>
  <c r="U22" i="21" s="1"/>
  <c r="I61" i="57" s="1" a="1"/>
  <c r="I61" i="57" s="1"/>
  <c r="S23" i="21"/>
  <c r="S12" i="21"/>
  <c r="U12" i="21" s="1"/>
  <c r="I51" i="57" s="1" a="1"/>
  <c r="I51" i="57" s="1"/>
  <c r="H60" i="42"/>
  <c r="I576" i="57" s="1" a="1"/>
  <c r="I576" i="57" s="1"/>
  <c r="H61" i="42"/>
  <c r="I577" i="57" s="1" a="1"/>
  <c r="I577" i="57" s="1"/>
  <c r="H62" i="42"/>
  <c r="I578" i="57" s="1" a="1"/>
  <c r="I578" i="57" s="1"/>
  <c r="H63" i="42"/>
  <c r="I579" i="57" s="1" a="1"/>
  <c r="I579" i="57" s="1"/>
  <c r="H64" i="42"/>
  <c r="H65" i="42"/>
  <c r="I581" i="57" s="1" a="1"/>
  <c r="I581" i="57" s="1"/>
  <c r="H66" i="42"/>
  <c r="H67" i="42"/>
  <c r="I583" i="57" s="1" a="1"/>
  <c r="I583" i="57" s="1"/>
  <c r="H68" i="42"/>
  <c r="I584" i="57" s="1" a="1"/>
  <c r="I584" i="57" s="1"/>
  <c r="H69" i="42"/>
  <c r="I585" i="57" s="1" a="1"/>
  <c r="I585" i="57" s="1"/>
  <c r="H70" i="42"/>
  <c r="I586" i="57" s="1" a="1"/>
  <c r="I586" i="57" s="1"/>
  <c r="H71" i="42"/>
  <c r="I587" i="57" s="1" a="1"/>
  <c r="I587" i="57" s="1"/>
  <c r="H72" i="42"/>
  <c r="I588" i="57" s="1" a="1"/>
  <c r="I588" i="57" s="1"/>
  <c r="H73" i="42"/>
  <c r="I589" i="57" s="1" a="1"/>
  <c r="I589" i="57" s="1"/>
  <c r="H74" i="42"/>
  <c r="I590" i="57" s="1" a="1"/>
  <c r="I590" i="57" s="1"/>
  <c r="H75" i="42"/>
  <c r="I591" i="57" s="1" a="1"/>
  <c r="I591" i="57" s="1"/>
  <c r="H76" i="42"/>
  <c r="I592" i="57" s="1" a="1"/>
  <c r="I592" i="57" s="1"/>
  <c r="H77" i="42"/>
  <c r="H78" i="42"/>
  <c r="I594" i="57" s="1" a="1"/>
  <c r="I594" i="57" s="1"/>
  <c r="H79" i="42"/>
  <c r="I595" i="57" s="1" a="1"/>
  <c r="I595" i="57" s="1"/>
  <c r="H80" i="42"/>
  <c r="H81" i="42"/>
  <c r="H82" i="42"/>
  <c r="H83" i="42"/>
  <c r="I599" i="57" s="1" a="1"/>
  <c r="I599" i="57" s="1"/>
  <c r="H84" i="42"/>
  <c r="I600" i="57" s="1" a="1"/>
  <c r="I600" i="57" s="1"/>
  <c r="H85" i="42"/>
  <c r="I601" i="57" s="1" a="1"/>
  <c r="I601" i="57" s="1"/>
  <c r="H86" i="42"/>
  <c r="I602" i="57" s="1" a="1"/>
  <c r="I602" i="57" s="1"/>
  <c r="H87" i="42"/>
  <c r="I603" i="57" s="1" a="1"/>
  <c r="I603" i="57" s="1"/>
  <c r="H88" i="42"/>
  <c r="I604" i="57" s="1" a="1"/>
  <c r="I604" i="57" s="1"/>
  <c r="H89" i="42"/>
  <c r="I605" i="57" s="1" a="1"/>
  <c r="I605" i="57" s="1"/>
  <c r="H90" i="42"/>
  <c r="I606" i="57" s="1" a="1"/>
  <c r="I606" i="57" s="1"/>
  <c r="H59" i="42"/>
  <c r="I575" i="57" s="1" a="1"/>
  <c r="I575" i="57" s="1"/>
  <c r="AC17" i="42"/>
  <c r="I543" i="57" s="1" a="1"/>
  <c r="I543" i="57" s="1"/>
  <c r="AC18" i="42"/>
  <c r="I544" i="57" s="1" a="1"/>
  <c r="I544" i="57" s="1"/>
  <c r="AC19" i="42"/>
  <c r="I545" i="57" s="1" a="1"/>
  <c r="I545" i="57" s="1"/>
  <c r="AC20" i="42"/>
  <c r="I546" i="57" s="1" a="1"/>
  <c r="I546" i="57" s="1"/>
  <c r="AC21" i="42"/>
  <c r="AC22" i="42"/>
  <c r="I548" i="57" s="1" a="1"/>
  <c r="I548" i="57" s="1"/>
  <c r="AC23" i="42"/>
  <c r="AC24" i="42"/>
  <c r="AC25" i="42"/>
  <c r="AC26" i="42"/>
  <c r="I552" i="57" s="1" a="1"/>
  <c r="I552" i="57" s="1"/>
  <c r="AC27" i="42"/>
  <c r="I553" i="57" s="1" a="1"/>
  <c r="I553" i="57" s="1"/>
  <c r="AC28" i="42"/>
  <c r="I554" i="57" s="1" a="1"/>
  <c r="I554" i="57" s="1"/>
  <c r="AC29" i="42"/>
  <c r="AC30" i="42"/>
  <c r="AC31" i="42"/>
  <c r="I557" i="57" s="1" a="1"/>
  <c r="I557" i="57" s="1"/>
  <c r="AC32" i="42"/>
  <c r="I558" i="57" s="1" a="1"/>
  <c r="I558" i="57" s="1"/>
  <c r="AC33" i="42"/>
  <c r="AC34" i="42"/>
  <c r="I560" i="57" s="1" a="1"/>
  <c r="I560" i="57" s="1"/>
  <c r="AC35" i="42"/>
  <c r="AC36" i="42"/>
  <c r="I562" i="57" s="1" a="1"/>
  <c r="I562" i="57" s="1"/>
  <c r="AC37" i="42"/>
  <c r="AC38" i="42"/>
  <c r="AC39" i="42"/>
  <c r="AC40" i="42"/>
  <c r="I566" i="57" s="1" a="1"/>
  <c r="I566" i="57" s="1"/>
  <c r="AC41" i="42"/>
  <c r="I567" i="57" s="1" a="1"/>
  <c r="I567" i="57" s="1"/>
  <c r="AC42" i="42"/>
  <c r="AC43" i="42"/>
  <c r="AC44" i="42"/>
  <c r="I570" i="57" s="1" a="1"/>
  <c r="I570" i="57" s="1"/>
  <c r="AC45" i="42"/>
  <c r="AC46" i="42"/>
  <c r="I572" i="57" s="1" a="1"/>
  <c r="I572" i="57" s="1"/>
  <c r="AC47" i="42"/>
  <c r="AC48" i="42"/>
  <c r="I574" i="57" s="1" a="1"/>
  <c r="I574" i="57" s="1"/>
  <c r="AC16" i="42"/>
  <c r="F8" i="43"/>
  <c r="H608" i="57" s="1" a="1"/>
  <c r="H608" i="57" s="1"/>
  <c r="G8" i="43"/>
  <c r="I608" i="57" s="1" a="1"/>
  <c r="I608" i="57" s="1"/>
  <c r="J608" i="57" a="1"/>
  <c r="J608" i="57" s="1"/>
  <c r="F9" i="43"/>
  <c r="H609" i="57" s="1" a="1"/>
  <c r="H609" i="57" s="1"/>
  <c r="G9" i="43"/>
  <c r="I609" i="57" s="1" a="1"/>
  <c r="I609" i="57" s="1"/>
  <c r="J609" i="57" a="1"/>
  <c r="J609" i="57" s="1"/>
  <c r="F10" i="43"/>
  <c r="H610" i="57" s="1" a="1"/>
  <c r="H610" i="57" s="1"/>
  <c r="G10" i="43"/>
  <c r="I610" i="57" s="1" a="1"/>
  <c r="I610" i="57" s="1"/>
  <c r="J610" i="57" a="1"/>
  <c r="J610" i="57" s="1"/>
  <c r="F11" i="43"/>
  <c r="H611" i="57" s="1" a="1"/>
  <c r="H611" i="57" s="1"/>
  <c r="G11" i="43"/>
  <c r="I611" i="57" s="1" a="1"/>
  <c r="I611" i="57" s="1"/>
  <c r="J611" i="57" a="1"/>
  <c r="J611" i="57" s="1"/>
  <c r="F12" i="43"/>
  <c r="H612" i="57" s="1" a="1"/>
  <c r="H612" i="57" s="1"/>
  <c r="G12" i="43"/>
  <c r="I612" i="57" s="1" a="1"/>
  <c r="I612" i="57" s="1"/>
  <c r="J612" i="57" a="1"/>
  <c r="J612" i="57" s="1"/>
  <c r="F13" i="43"/>
  <c r="H613" i="57" s="1" a="1"/>
  <c r="H613" i="57" s="1"/>
  <c r="G13" i="43"/>
  <c r="I613" i="57" s="1" a="1"/>
  <c r="I613" i="57" s="1"/>
  <c r="J613" i="57" a="1"/>
  <c r="J613" i="57" s="1"/>
  <c r="F14" i="43"/>
  <c r="H614" i="57" s="1" a="1"/>
  <c r="H614" i="57" s="1"/>
  <c r="G14" i="43"/>
  <c r="I614" i="57" s="1" a="1"/>
  <c r="I614" i="57" s="1"/>
  <c r="J614" i="57" a="1"/>
  <c r="J614" i="57" s="1"/>
  <c r="F15" i="43"/>
  <c r="H615" i="57" s="1" a="1"/>
  <c r="H615" i="57" s="1"/>
  <c r="G15" i="43"/>
  <c r="I615" i="57" s="1" a="1"/>
  <c r="I615" i="57" s="1"/>
  <c r="J615" i="57" a="1"/>
  <c r="J615" i="57" s="1"/>
  <c r="F16" i="43"/>
  <c r="H616" i="57" s="1" a="1"/>
  <c r="H616" i="57" s="1"/>
  <c r="G16" i="43"/>
  <c r="I616" i="57" s="1" a="1"/>
  <c r="I616" i="57" s="1"/>
  <c r="J616" i="57" a="1"/>
  <c r="J616" i="57" s="1"/>
  <c r="F17" i="43"/>
  <c r="H617" i="57" s="1" a="1"/>
  <c r="H617" i="57" s="1"/>
  <c r="G17" i="43"/>
  <c r="I617" i="57" s="1" a="1"/>
  <c r="I617" i="57" s="1"/>
  <c r="J617" i="57" a="1"/>
  <c r="J617" i="57" s="1"/>
  <c r="F18" i="43"/>
  <c r="H618" i="57" s="1" a="1"/>
  <c r="H618" i="57" s="1"/>
  <c r="G18" i="43"/>
  <c r="I618" i="57" s="1" a="1"/>
  <c r="I618" i="57" s="1"/>
  <c r="J618" i="57" a="1"/>
  <c r="J618" i="57" s="1"/>
  <c r="F19" i="43"/>
  <c r="H619" i="57" s="1" a="1"/>
  <c r="H619" i="57" s="1"/>
  <c r="G19" i="43"/>
  <c r="I619" i="57" s="1" a="1"/>
  <c r="I619" i="57" s="1"/>
  <c r="J619" i="57" a="1"/>
  <c r="J619" i="57" s="1"/>
  <c r="F20" i="43"/>
  <c r="H620" i="57" s="1" a="1"/>
  <c r="H620" i="57" s="1"/>
  <c r="G20" i="43"/>
  <c r="I620" i="57" s="1" a="1"/>
  <c r="I620" i="57" s="1"/>
  <c r="J620" i="57" a="1"/>
  <c r="J620" i="57" s="1"/>
  <c r="F21" i="43"/>
  <c r="H621" i="57" s="1" a="1"/>
  <c r="H621" i="57" s="1"/>
  <c r="G21" i="43"/>
  <c r="I621" i="57" s="1" a="1"/>
  <c r="I621" i="57" s="1"/>
  <c r="J621" i="57" a="1"/>
  <c r="J621" i="57" s="1"/>
  <c r="F22" i="43"/>
  <c r="H622" i="57" s="1" a="1"/>
  <c r="H622" i="57" s="1"/>
  <c r="G22" i="43"/>
  <c r="I622" i="57" s="1" a="1"/>
  <c r="I622" i="57" s="1"/>
  <c r="J622" i="57" a="1"/>
  <c r="J622" i="57" s="1"/>
  <c r="F23" i="43"/>
  <c r="H623" i="57" s="1" a="1"/>
  <c r="H623" i="57" s="1"/>
  <c r="G23" i="43"/>
  <c r="I623" i="57" s="1" a="1"/>
  <c r="I623" i="57" s="1"/>
  <c r="J623" i="57" a="1"/>
  <c r="J623" i="57" s="1"/>
  <c r="F24" i="43"/>
  <c r="H624" i="57" s="1" a="1"/>
  <c r="H624" i="57" s="1"/>
  <c r="G24" i="43"/>
  <c r="I624" i="57" s="1" a="1"/>
  <c r="I624" i="57" s="1"/>
  <c r="J624" i="57" a="1"/>
  <c r="J624" i="57" s="1"/>
  <c r="F25" i="43"/>
  <c r="H625" i="57" s="1" a="1"/>
  <c r="H625" i="57" s="1"/>
  <c r="G25" i="43"/>
  <c r="I625" i="57" s="1" a="1"/>
  <c r="I625" i="57" s="1"/>
  <c r="J625" i="57" a="1"/>
  <c r="J625" i="57" s="1"/>
  <c r="F26" i="43"/>
  <c r="H626" i="57" s="1" a="1"/>
  <c r="H626" i="57" s="1"/>
  <c r="G26" i="43"/>
  <c r="I626" i="57" s="1" a="1"/>
  <c r="I626" i="57" s="1"/>
  <c r="J626" i="57" a="1"/>
  <c r="J626" i="57" s="1"/>
  <c r="F27" i="43"/>
  <c r="H627" i="57" s="1" a="1"/>
  <c r="H627" i="57" s="1"/>
  <c r="G27" i="43"/>
  <c r="I627" i="57" s="1" a="1"/>
  <c r="I627" i="57" s="1"/>
  <c r="J627" i="57" a="1"/>
  <c r="J627" i="57" s="1"/>
  <c r="F28" i="43"/>
  <c r="H628" i="57" s="1" a="1"/>
  <c r="H628" i="57" s="1"/>
  <c r="G28" i="43"/>
  <c r="I628" i="57" s="1" a="1"/>
  <c r="I628" i="57" s="1"/>
  <c r="J628" i="57" a="1"/>
  <c r="J628" i="57" s="1"/>
  <c r="F29" i="43"/>
  <c r="H629" i="57" s="1" a="1"/>
  <c r="H629" i="57" s="1"/>
  <c r="G29" i="43"/>
  <c r="I629" i="57" s="1" a="1"/>
  <c r="I629" i="57" s="1"/>
  <c r="J629" i="57" a="1"/>
  <c r="J629" i="57" s="1"/>
  <c r="F30" i="43"/>
  <c r="H630" i="57" s="1" a="1"/>
  <c r="H630" i="57" s="1"/>
  <c r="G30" i="43"/>
  <c r="I630" i="57" s="1" a="1"/>
  <c r="I630" i="57" s="1"/>
  <c r="J630" i="57" a="1"/>
  <c r="J630" i="57" s="1"/>
  <c r="F31" i="43"/>
  <c r="H631" i="57" s="1" a="1"/>
  <c r="H631" i="57" s="1"/>
  <c r="G31" i="43"/>
  <c r="I631" i="57" s="1" a="1"/>
  <c r="I631" i="57" s="1"/>
  <c r="J631" i="57" a="1"/>
  <c r="J631" i="57" s="1"/>
  <c r="F32" i="43"/>
  <c r="H632" i="57" s="1" a="1"/>
  <c r="H632" i="57" s="1"/>
  <c r="G32" i="43"/>
  <c r="I632" i="57" s="1" a="1"/>
  <c r="I632" i="57" s="1"/>
  <c r="J632" i="57" a="1"/>
  <c r="J632" i="57" s="1"/>
  <c r="F33" i="43"/>
  <c r="H633" i="57" s="1" a="1"/>
  <c r="H633" i="57" s="1"/>
  <c r="G33" i="43"/>
  <c r="I633" i="57" s="1" a="1"/>
  <c r="I633" i="57" s="1"/>
  <c r="J633" i="57" a="1"/>
  <c r="J633" i="57" s="1"/>
  <c r="F34" i="43"/>
  <c r="H634" i="57" s="1" a="1"/>
  <c r="H634" i="57" s="1"/>
  <c r="G34" i="43"/>
  <c r="I634" i="57" s="1" a="1"/>
  <c r="I634" i="57" s="1"/>
  <c r="J634" i="57" a="1"/>
  <c r="J634" i="57" s="1"/>
  <c r="F35" i="43"/>
  <c r="H635" i="57" s="1" a="1"/>
  <c r="H635" i="57" s="1"/>
  <c r="G35" i="43"/>
  <c r="I635" i="57" s="1" a="1"/>
  <c r="I635" i="57" s="1"/>
  <c r="J635" i="57" a="1"/>
  <c r="J635" i="57" s="1"/>
  <c r="F36" i="43"/>
  <c r="H636" i="57" s="1" a="1"/>
  <c r="H636" i="57" s="1"/>
  <c r="G36" i="43"/>
  <c r="I636" i="57" s="1" a="1"/>
  <c r="I636" i="57" s="1"/>
  <c r="J636" i="57" a="1"/>
  <c r="J636" i="57" s="1"/>
  <c r="F37" i="43"/>
  <c r="H637" i="57" s="1" a="1"/>
  <c r="H637" i="57" s="1"/>
  <c r="G37" i="43"/>
  <c r="I637" i="57" s="1" a="1"/>
  <c r="I637" i="57" s="1"/>
  <c r="J637" i="57" a="1"/>
  <c r="J637" i="57" s="1"/>
  <c r="F38" i="43"/>
  <c r="H638" i="57" s="1" a="1"/>
  <c r="H638" i="57" s="1"/>
  <c r="G38" i="43"/>
  <c r="I638" i="57" s="1" a="1"/>
  <c r="I638" i="57" s="1"/>
  <c r="J638" i="57" a="1"/>
  <c r="J638" i="57" s="1"/>
  <c r="F39" i="43"/>
  <c r="H639" i="57" s="1" a="1"/>
  <c r="H639" i="57" s="1"/>
  <c r="G39" i="43"/>
  <c r="I639" i="57" s="1" a="1"/>
  <c r="I639" i="57" s="1"/>
  <c r="J639" i="57" a="1"/>
  <c r="J639" i="57" s="1"/>
  <c r="F40" i="43"/>
  <c r="H640" i="57" s="1" a="1"/>
  <c r="H640" i="57" s="1"/>
  <c r="G40" i="43"/>
  <c r="I640" i="57" s="1" a="1"/>
  <c r="I640" i="57" s="1"/>
  <c r="J640" i="57" a="1"/>
  <c r="J640" i="57" s="1"/>
  <c r="F41" i="43"/>
  <c r="H641" i="57" s="1" a="1"/>
  <c r="H641" i="57" s="1"/>
  <c r="G41" i="43"/>
  <c r="I641" i="57" s="1" a="1"/>
  <c r="I641" i="57" s="1"/>
  <c r="J641" i="57" a="1"/>
  <c r="J641" i="57" s="1"/>
  <c r="F42" i="43"/>
  <c r="H642" i="57" s="1" a="1"/>
  <c r="H642" i="57" s="1"/>
  <c r="G42" i="43"/>
  <c r="I642" i="57" s="1" a="1"/>
  <c r="I642" i="57" s="1"/>
  <c r="J642" i="57" a="1"/>
  <c r="J642" i="57" s="1"/>
  <c r="F43" i="43"/>
  <c r="H643" i="57" s="1" a="1"/>
  <c r="H643" i="57" s="1"/>
  <c r="G43" i="43"/>
  <c r="I643" i="57" s="1" a="1"/>
  <c r="I643" i="57" s="1"/>
  <c r="J643" i="57" a="1"/>
  <c r="J643" i="57" s="1"/>
  <c r="F44" i="43"/>
  <c r="H644" i="57" s="1" a="1"/>
  <c r="H644" i="57" s="1"/>
  <c r="G44" i="43"/>
  <c r="I644" i="57" s="1" a="1"/>
  <c r="I644" i="57" s="1"/>
  <c r="J644" i="57" a="1"/>
  <c r="J644" i="57" s="1"/>
  <c r="F45" i="43"/>
  <c r="H645" i="57" s="1" a="1"/>
  <c r="H645" i="57" s="1"/>
  <c r="G45" i="43"/>
  <c r="I645" i="57" s="1" a="1"/>
  <c r="I645" i="57" s="1"/>
  <c r="J645" i="57" a="1"/>
  <c r="J645" i="57" s="1"/>
  <c r="F46" i="43"/>
  <c r="H646" i="57" s="1" a="1"/>
  <c r="H646" i="57" s="1"/>
  <c r="G46" i="43"/>
  <c r="I646" i="57" s="1" a="1"/>
  <c r="I646" i="57" s="1"/>
  <c r="J646" i="57" a="1"/>
  <c r="J646" i="57" s="1"/>
  <c r="F47" i="43"/>
  <c r="H647" i="57" s="1" a="1"/>
  <c r="H647" i="57" s="1"/>
  <c r="G47" i="43"/>
  <c r="I647" i="57" s="1" a="1"/>
  <c r="I647" i="57" s="1"/>
  <c r="J647" i="57" a="1"/>
  <c r="J647" i="57" s="1"/>
  <c r="F48" i="43"/>
  <c r="H648" i="57" s="1" a="1"/>
  <c r="H648" i="57" s="1"/>
  <c r="G48" i="43"/>
  <c r="I648" i="57" s="1" a="1"/>
  <c r="I648" i="57" s="1"/>
  <c r="J648" i="57" a="1"/>
  <c r="J648" i="57" s="1"/>
  <c r="F49" i="43"/>
  <c r="H649" i="57" s="1" a="1"/>
  <c r="H649" i="57" s="1"/>
  <c r="G49" i="43"/>
  <c r="I649" i="57" s="1" a="1"/>
  <c r="I649" i="57" s="1"/>
  <c r="J649" i="57" a="1"/>
  <c r="J649" i="57" s="1"/>
  <c r="F50" i="43"/>
  <c r="H650" i="57" s="1" a="1"/>
  <c r="H650" i="57" s="1"/>
  <c r="G50" i="43"/>
  <c r="I650" i="57" s="1" a="1"/>
  <c r="I650" i="57" s="1"/>
  <c r="J650" i="57" a="1"/>
  <c r="J650" i="57" s="1"/>
  <c r="F51" i="43"/>
  <c r="H651" i="57" s="1" a="1"/>
  <c r="H651" i="57" s="1"/>
  <c r="G51" i="43"/>
  <c r="I651" i="57" s="1" a="1"/>
  <c r="I651" i="57" s="1"/>
  <c r="J651" i="57" a="1"/>
  <c r="J651" i="57" s="1"/>
  <c r="F52" i="43"/>
  <c r="H652" i="57" s="1" a="1"/>
  <c r="H652" i="57" s="1"/>
  <c r="G52" i="43"/>
  <c r="I652" i="57" s="1" a="1"/>
  <c r="I652" i="57" s="1"/>
  <c r="J652" i="57" a="1"/>
  <c r="J652" i="57" s="1"/>
  <c r="F53" i="43"/>
  <c r="H653" i="57" s="1" a="1"/>
  <c r="H653" i="57" s="1"/>
  <c r="G53" i="43"/>
  <c r="I653" i="57" s="1" a="1"/>
  <c r="I653" i="57" s="1"/>
  <c r="J653" i="57" a="1"/>
  <c r="J653" i="57" s="1"/>
  <c r="F54" i="43"/>
  <c r="H654" i="57" s="1" a="1"/>
  <c r="H654" i="57" s="1"/>
  <c r="G54" i="43"/>
  <c r="I654" i="57" s="1" a="1"/>
  <c r="I654" i="57" s="1"/>
  <c r="J654" i="57" a="1"/>
  <c r="J654" i="57" s="1"/>
  <c r="F55" i="43"/>
  <c r="H655" i="57" s="1" a="1"/>
  <c r="H655" i="57" s="1"/>
  <c r="G55" i="43"/>
  <c r="I655" i="57" s="1" a="1"/>
  <c r="I655" i="57" s="1"/>
  <c r="J655" i="57" a="1"/>
  <c r="J655" i="57" s="1"/>
  <c r="F56" i="43"/>
  <c r="H656" i="57" s="1" a="1"/>
  <c r="H656" i="57" s="1"/>
  <c r="G56" i="43"/>
  <c r="I656" i="57" s="1" a="1"/>
  <c r="I656" i="57" s="1"/>
  <c r="J656" i="57" a="1"/>
  <c r="J656" i="57" s="1"/>
  <c r="F57" i="43"/>
  <c r="H657" i="57" s="1" a="1"/>
  <c r="H657" i="57" s="1"/>
  <c r="G57" i="43"/>
  <c r="I657" i="57" s="1" a="1"/>
  <c r="I657" i="57" s="1"/>
  <c r="J657" i="57" a="1"/>
  <c r="J657" i="57" s="1"/>
  <c r="F58" i="43"/>
  <c r="H658" i="57" s="1" a="1"/>
  <c r="H658" i="57" s="1"/>
  <c r="G58" i="43"/>
  <c r="I658" i="57" s="1" a="1"/>
  <c r="I658" i="57" s="1"/>
  <c r="J658" i="57" a="1"/>
  <c r="J658" i="57" s="1"/>
  <c r="F59" i="43"/>
  <c r="H659" i="57" s="1" a="1"/>
  <c r="H659" i="57" s="1"/>
  <c r="G59" i="43"/>
  <c r="I659" i="57" s="1" a="1"/>
  <c r="I659" i="57" s="1"/>
  <c r="J659" i="57" a="1"/>
  <c r="J659" i="57" s="1"/>
  <c r="F60" i="43"/>
  <c r="H660" i="57" s="1" a="1"/>
  <c r="H660" i="57" s="1"/>
  <c r="G60" i="43"/>
  <c r="I660" i="57" s="1" a="1"/>
  <c r="I660" i="57" s="1"/>
  <c r="J660" i="57" a="1"/>
  <c r="J660" i="57" s="1"/>
  <c r="F61" i="43"/>
  <c r="H661" i="57" s="1" a="1"/>
  <c r="H661" i="57" s="1"/>
  <c r="G61" i="43"/>
  <c r="I661" i="57" s="1" a="1"/>
  <c r="I661" i="57" s="1"/>
  <c r="J661" i="57" a="1"/>
  <c r="J661" i="57" s="1"/>
  <c r="F62" i="43"/>
  <c r="H662" i="57" s="1" a="1"/>
  <c r="H662" i="57" s="1"/>
  <c r="G62" i="43"/>
  <c r="I662" i="57" s="1" a="1"/>
  <c r="I662" i="57" s="1"/>
  <c r="J662" i="57" a="1"/>
  <c r="J662" i="57" s="1"/>
  <c r="F63" i="43"/>
  <c r="H663" i="57" s="1" a="1"/>
  <c r="H663" i="57" s="1"/>
  <c r="G63" i="43"/>
  <c r="I663" i="57" s="1" a="1"/>
  <c r="I663" i="57" s="1"/>
  <c r="J663" i="57" a="1"/>
  <c r="J663" i="57" s="1"/>
  <c r="F64" i="43"/>
  <c r="H664" i="57" s="1" a="1"/>
  <c r="H664" i="57" s="1"/>
  <c r="G64" i="43"/>
  <c r="I664" i="57" s="1" a="1"/>
  <c r="I664" i="57" s="1"/>
  <c r="J664" i="57" a="1"/>
  <c r="J664" i="57" s="1"/>
  <c r="F65" i="43"/>
  <c r="H665" i="57" s="1" a="1"/>
  <c r="H665" i="57" s="1"/>
  <c r="G65" i="43"/>
  <c r="I665" i="57" s="1" a="1"/>
  <c r="I665" i="57" s="1"/>
  <c r="J665" i="57" a="1"/>
  <c r="J665" i="57" s="1"/>
  <c r="F66" i="43"/>
  <c r="H666" i="57" s="1" a="1"/>
  <c r="H666" i="57" s="1"/>
  <c r="G66" i="43"/>
  <c r="I666" i="57" s="1" a="1"/>
  <c r="I666" i="57" s="1"/>
  <c r="J666" i="57" a="1"/>
  <c r="J666" i="57" s="1"/>
  <c r="F67" i="43"/>
  <c r="H667" i="57" s="1" a="1"/>
  <c r="H667" i="57" s="1"/>
  <c r="G67" i="43"/>
  <c r="I667" i="57" s="1" a="1"/>
  <c r="I667" i="57" s="1"/>
  <c r="J667" i="57" a="1"/>
  <c r="J667" i="57" s="1"/>
  <c r="F68" i="43"/>
  <c r="H668" i="57" s="1" a="1"/>
  <c r="H668" i="57" s="1"/>
  <c r="G68" i="43"/>
  <c r="I668" i="57" s="1" a="1"/>
  <c r="I668" i="57" s="1"/>
  <c r="J668" i="57" a="1"/>
  <c r="J668" i="57" s="1"/>
  <c r="F69" i="43"/>
  <c r="H669" i="57" s="1" a="1"/>
  <c r="H669" i="57" s="1"/>
  <c r="G69" i="43"/>
  <c r="I669" i="57" s="1" a="1"/>
  <c r="I669" i="57" s="1"/>
  <c r="J669" i="57" a="1"/>
  <c r="J669" i="57" s="1"/>
  <c r="F70" i="43"/>
  <c r="H670" i="57" s="1" a="1"/>
  <c r="H670" i="57" s="1"/>
  <c r="G70" i="43"/>
  <c r="I670" i="57" s="1" a="1"/>
  <c r="I670" i="57" s="1"/>
  <c r="J670" i="57" a="1"/>
  <c r="J670" i="57" s="1"/>
  <c r="F71" i="43"/>
  <c r="H671" i="57" s="1" a="1"/>
  <c r="H671" i="57" s="1"/>
  <c r="G71" i="43"/>
  <c r="I671" i="57" s="1" a="1"/>
  <c r="I671" i="57" s="1"/>
  <c r="J671" i="57" a="1"/>
  <c r="J671" i="57" s="1"/>
  <c r="F72" i="43"/>
  <c r="H672" i="57" s="1" a="1"/>
  <c r="H672" i="57" s="1"/>
  <c r="G72" i="43"/>
  <c r="I672" i="57" s="1" a="1"/>
  <c r="I672" i="57" s="1"/>
  <c r="J672" i="57" a="1"/>
  <c r="J672" i="57" s="1"/>
  <c r="F73" i="43"/>
  <c r="H673" i="57" s="1" a="1"/>
  <c r="H673" i="57" s="1"/>
  <c r="G73" i="43"/>
  <c r="I673" i="57" s="1" a="1"/>
  <c r="I673" i="57" s="1"/>
  <c r="J673" i="57" a="1"/>
  <c r="J673" i="57" s="1"/>
  <c r="F74" i="43"/>
  <c r="H674" i="57" s="1" a="1"/>
  <c r="H674" i="57" s="1"/>
  <c r="G74" i="43"/>
  <c r="I674" i="57" s="1" a="1"/>
  <c r="I674" i="57" s="1"/>
  <c r="J674" i="57" a="1"/>
  <c r="J674" i="57" s="1"/>
  <c r="F75" i="43"/>
  <c r="H675" i="57" s="1" a="1"/>
  <c r="H675" i="57" s="1"/>
  <c r="G75" i="43"/>
  <c r="I675" i="57" s="1" a="1"/>
  <c r="I675" i="57" s="1"/>
  <c r="J675" i="57" a="1"/>
  <c r="J675" i="57" s="1"/>
  <c r="F76" i="43"/>
  <c r="H676" i="57" s="1" a="1"/>
  <c r="H676" i="57" s="1"/>
  <c r="G76" i="43"/>
  <c r="I676" i="57" s="1" a="1"/>
  <c r="I676" i="57" s="1"/>
  <c r="J676" i="57" a="1"/>
  <c r="J676" i="57" s="1"/>
  <c r="F77" i="43"/>
  <c r="H677" i="57" s="1" a="1"/>
  <c r="H677" i="57" s="1"/>
  <c r="G77" i="43"/>
  <c r="I677" i="57" s="1" a="1"/>
  <c r="I677" i="57" s="1"/>
  <c r="J677" i="57" a="1"/>
  <c r="J677" i="57" s="1"/>
  <c r="F78" i="43"/>
  <c r="H678" i="57" s="1" a="1"/>
  <c r="H678" i="57" s="1"/>
  <c r="G78" i="43"/>
  <c r="I678" i="57" s="1" a="1"/>
  <c r="I678" i="57" s="1"/>
  <c r="J678" i="57" a="1"/>
  <c r="J678" i="57" s="1"/>
  <c r="J607" i="57" a="1"/>
  <c r="J607" i="57" s="1"/>
  <c r="G7" i="43"/>
  <c r="I607" i="57" s="1" a="1"/>
  <c r="I607" i="57" s="1"/>
  <c r="F7" i="43"/>
  <c r="H607" i="57" s="1" a="1"/>
  <c r="H607" i="57" s="1"/>
  <c r="G90" i="42"/>
  <c r="H606" i="57" s="1" a="1"/>
  <c r="H606" i="57" s="1"/>
  <c r="G60" i="42"/>
  <c r="H576" i="57" s="1" a="1"/>
  <c r="H576" i="57" s="1"/>
  <c r="J576" i="57" a="1"/>
  <c r="J576" i="57" s="1"/>
  <c r="G61" i="42"/>
  <c r="H577" i="57" s="1" a="1"/>
  <c r="H577" i="57" s="1"/>
  <c r="J577" i="57" a="1"/>
  <c r="J577" i="57" s="1"/>
  <c r="G62" i="42"/>
  <c r="H578" i="57" s="1" a="1"/>
  <c r="H578" i="57" s="1"/>
  <c r="J578" i="57" a="1"/>
  <c r="J578" i="57" s="1"/>
  <c r="G63" i="42"/>
  <c r="H579" i="57" s="1" a="1"/>
  <c r="H579" i="57" s="1"/>
  <c r="J579" i="57" a="1"/>
  <c r="J579" i="57" s="1"/>
  <c r="G64" i="42"/>
  <c r="H580" i="57" s="1" a="1"/>
  <c r="H580" i="57" s="1"/>
  <c r="I580" i="57" a="1"/>
  <c r="I580" i="57" s="1"/>
  <c r="J580" i="57" a="1"/>
  <c r="J580" i="57" s="1"/>
  <c r="G65" i="42"/>
  <c r="H581" i="57" s="1" a="1"/>
  <c r="H581" i="57" s="1"/>
  <c r="J581" i="57" a="1"/>
  <c r="J581" i="57" s="1"/>
  <c r="G66" i="42"/>
  <c r="H582" i="57" s="1" a="1"/>
  <c r="H582" i="57" s="1"/>
  <c r="I582" i="57" a="1"/>
  <c r="I582" i="57" s="1"/>
  <c r="J582" i="57" a="1"/>
  <c r="J582" i="57" s="1"/>
  <c r="G67" i="42"/>
  <c r="H583" i="57" s="1" a="1"/>
  <c r="H583" i="57" s="1"/>
  <c r="J583" i="57" a="1"/>
  <c r="J583" i="57" s="1"/>
  <c r="G68" i="42"/>
  <c r="H584" i="57" s="1" a="1"/>
  <c r="H584" i="57" s="1"/>
  <c r="J584" i="57" a="1"/>
  <c r="J584" i="57" s="1"/>
  <c r="G69" i="42"/>
  <c r="H585" i="57" s="1" a="1"/>
  <c r="H585" i="57" s="1"/>
  <c r="J585" i="57" a="1"/>
  <c r="J585" i="57" s="1"/>
  <c r="G70" i="42"/>
  <c r="H586" i="57" s="1" a="1"/>
  <c r="H586" i="57" s="1"/>
  <c r="J586" i="57" a="1"/>
  <c r="J586" i="57" s="1"/>
  <c r="G71" i="42"/>
  <c r="H587" i="57" s="1" a="1"/>
  <c r="H587" i="57" s="1"/>
  <c r="J587" i="57" a="1"/>
  <c r="J587" i="57" s="1"/>
  <c r="G72" i="42"/>
  <c r="H588" i="57" s="1" a="1"/>
  <c r="H588" i="57" s="1"/>
  <c r="J588" i="57" a="1"/>
  <c r="J588" i="57" s="1"/>
  <c r="G73" i="42"/>
  <c r="H589" i="57" s="1" a="1"/>
  <c r="H589" i="57" s="1"/>
  <c r="J589" i="57" a="1"/>
  <c r="J589" i="57" s="1"/>
  <c r="G74" i="42"/>
  <c r="H590" i="57" s="1" a="1"/>
  <c r="H590" i="57" s="1"/>
  <c r="J590" i="57" a="1"/>
  <c r="J590" i="57" s="1"/>
  <c r="G75" i="42"/>
  <c r="H591" i="57" s="1" a="1"/>
  <c r="H591" i="57" s="1"/>
  <c r="J591" i="57" a="1"/>
  <c r="J591" i="57" s="1"/>
  <c r="G76" i="42"/>
  <c r="H592" i="57" s="1" a="1"/>
  <c r="H592" i="57" s="1"/>
  <c r="J592" i="57" a="1"/>
  <c r="J592" i="57" s="1"/>
  <c r="G77" i="42"/>
  <c r="H593" i="57" s="1" a="1"/>
  <c r="H593" i="57" s="1"/>
  <c r="I593" i="57" a="1"/>
  <c r="I593" i="57" s="1"/>
  <c r="J593" i="57" a="1"/>
  <c r="J593" i="57" s="1"/>
  <c r="G78" i="42"/>
  <c r="H594" i="57" s="1" a="1"/>
  <c r="H594" i="57" s="1"/>
  <c r="J594" i="57" a="1"/>
  <c r="J594" i="57" s="1"/>
  <c r="G79" i="42"/>
  <c r="H595" i="57" s="1" a="1"/>
  <c r="H595" i="57" s="1"/>
  <c r="J595" i="57" a="1"/>
  <c r="J595" i="57" s="1"/>
  <c r="E12" i="23"/>
  <c r="H12" i="23"/>
  <c r="K12" i="23"/>
  <c r="N12" i="23"/>
  <c r="I596" i="57" a="1"/>
  <c r="I596" i="57" s="1"/>
  <c r="J596" i="57" a="1"/>
  <c r="J596" i="57" s="1"/>
  <c r="E15" i="23"/>
  <c r="H15" i="23"/>
  <c r="K15" i="23"/>
  <c r="N15" i="23"/>
  <c r="I597" i="57" a="1"/>
  <c r="I597" i="57" s="1"/>
  <c r="J597" i="57" a="1"/>
  <c r="J597" i="57" s="1"/>
  <c r="E16" i="23"/>
  <c r="H16" i="23"/>
  <c r="K16" i="23"/>
  <c r="N16" i="23"/>
  <c r="I598" i="57" a="1"/>
  <c r="I598" i="57" s="1"/>
  <c r="J598" i="57" a="1"/>
  <c r="J598" i="57" s="1"/>
  <c r="E17" i="23"/>
  <c r="H17" i="23"/>
  <c r="K17" i="23"/>
  <c r="N17" i="23"/>
  <c r="J599" i="57" a="1"/>
  <c r="J599" i="57" s="1"/>
  <c r="E23" i="23"/>
  <c r="H23" i="23"/>
  <c r="K23" i="23"/>
  <c r="N23" i="23"/>
  <c r="J600" i="57" a="1"/>
  <c r="J600" i="57" s="1"/>
  <c r="E24" i="23"/>
  <c r="H24" i="23"/>
  <c r="K24" i="23"/>
  <c r="N24" i="23"/>
  <c r="J601" i="57" a="1"/>
  <c r="J601" i="57" s="1"/>
  <c r="G86" i="42"/>
  <c r="H602" i="57" s="1" a="1"/>
  <c r="H602" i="57" s="1"/>
  <c r="J602" i="57" a="1"/>
  <c r="J602" i="57" s="1"/>
  <c r="E51" i="23"/>
  <c r="H51" i="23"/>
  <c r="K51" i="23"/>
  <c r="N51" i="23"/>
  <c r="J603" i="57" a="1"/>
  <c r="J603" i="57" s="1"/>
  <c r="E52" i="23"/>
  <c r="H52" i="23"/>
  <c r="K52" i="23"/>
  <c r="N52" i="23"/>
  <c r="J604" i="57" a="1"/>
  <c r="J604" i="57" s="1"/>
  <c r="E53" i="23"/>
  <c r="H53" i="23"/>
  <c r="K53" i="23"/>
  <c r="N53" i="23"/>
  <c r="J605" i="57" a="1"/>
  <c r="J605" i="57" s="1"/>
  <c r="J606" i="57" a="1"/>
  <c r="J606" i="57" s="1"/>
  <c r="J575" i="57" a="1"/>
  <c r="J575" i="57" s="1"/>
  <c r="G59" i="42"/>
  <c r="H575" i="57" s="1" a="1"/>
  <c r="H575" i="57" s="1"/>
  <c r="C3" i="42"/>
  <c r="H48" i="42"/>
  <c r="M48" i="42"/>
  <c r="O48" i="42" s="1"/>
  <c r="K48" i="42"/>
  <c r="I48" i="42"/>
  <c r="C4" i="42"/>
  <c r="J48" i="42"/>
  <c r="C5" i="42"/>
  <c r="S48" i="42"/>
  <c r="W48" i="42" s="1"/>
  <c r="J543" i="57" a="1"/>
  <c r="J543" i="57" s="1"/>
  <c r="K543" i="57" a="1"/>
  <c r="K543" i="57" s="1"/>
  <c r="L543" i="57" a="1"/>
  <c r="L543" i="57" s="1"/>
  <c r="J544" i="57" a="1"/>
  <c r="J544" i="57" s="1"/>
  <c r="K544" i="57" a="1"/>
  <c r="K544" i="57" s="1"/>
  <c r="L544" i="57" a="1"/>
  <c r="L544" i="57" s="1"/>
  <c r="J545" i="57" a="1"/>
  <c r="J545" i="57" s="1"/>
  <c r="K545" i="57" a="1"/>
  <c r="K545" i="57" s="1"/>
  <c r="L545" i="57" a="1"/>
  <c r="L545" i="57" s="1"/>
  <c r="J546" i="57" a="1"/>
  <c r="J546" i="57" s="1"/>
  <c r="K546" i="57" a="1"/>
  <c r="K546" i="57" s="1"/>
  <c r="L546" i="57" a="1"/>
  <c r="L546" i="57" s="1"/>
  <c r="J547" i="57" a="1"/>
  <c r="J547" i="57" s="1"/>
  <c r="K547" i="57" a="1"/>
  <c r="K547" i="57" s="1"/>
  <c r="L547" i="57" a="1"/>
  <c r="L547" i="57" s="1"/>
  <c r="J548" i="57" a="1"/>
  <c r="J548" i="57" s="1"/>
  <c r="K548" i="57" a="1"/>
  <c r="K548" i="57" s="1"/>
  <c r="L548" i="57" a="1"/>
  <c r="L548" i="57" s="1"/>
  <c r="J549" i="57" a="1"/>
  <c r="J549" i="57" s="1"/>
  <c r="K549" i="57" a="1"/>
  <c r="K549" i="57" s="1"/>
  <c r="L549" i="57" a="1"/>
  <c r="L549" i="57" s="1"/>
  <c r="J550" i="57" a="1"/>
  <c r="J550" i="57" s="1"/>
  <c r="K550" i="57" a="1"/>
  <c r="K550" i="57" s="1"/>
  <c r="L550" i="57" a="1"/>
  <c r="L550" i="57" s="1"/>
  <c r="J551" i="57" a="1"/>
  <c r="J551" i="57" s="1"/>
  <c r="K551" i="57" a="1"/>
  <c r="K551" i="57" s="1"/>
  <c r="L551" i="57" a="1"/>
  <c r="L551" i="57" s="1"/>
  <c r="J552" i="57" a="1"/>
  <c r="J552" i="57" s="1"/>
  <c r="K552" i="57" a="1"/>
  <c r="K552" i="57" s="1"/>
  <c r="L552" i="57" a="1"/>
  <c r="L552" i="57" s="1"/>
  <c r="J553" i="57" a="1"/>
  <c r="J553" i="57" s="1"/>
  <c r="K553" i="57" a="1"/>
  <c r="K553" i="57" s="1"/>
  <c r="L553" i="57" a="1"/>
  <c r="L553" i="57" s="1"/>
  <c r="J554" i="57" a="1"/>
  <c r="J554" i="57" s="1"/>
  <c r="K554" i="57" a="1"/>
  <c r="K554" i="57" s="1"/>
  <c r="L554" i="57" a="1"/>
  <c r="L554" i="57" s="1"/>
  <c r="J555" i="57" a="1"/>
  <c r="J555" i="57" s="1"/>
  <c r="K555" i="57" a="1"/>
  <c r="K555" i="57" s="1"/>
  <c r="L555" i="57" a="1"/>
  <c r="L555" i="57" s="1"/>
  <c r="J556" i="57" a="1"/>
  <c r="J556" i="57" s="1"/>
  <c r="K556" i="57" a="1"/>
  <c r="K556" i="57" s="1"/>
  <c r="L556" i="57" a="1"/>
  <c r="L556" i="57" s="1"/>
  <c r="J557" i="57" a="1"/>
  <c r="J557" i="57" s="1"/>
  <c r="K557" i="57" a="1"/>
  <c r="K557" i="57" s="1"/>
  <c r="L557" i="57" a="1"/>
  <c r="L557" i="57" s="1"/>
  <c r="J558" i="57" a="1"/>
  <c r="J558" i="57" s="1"/>
  <c r="K558" i="57" a="1"/>
  <c r="K558" i="57" s="1"/>
  <c r="L558" i="57" a="1"/>
  <c r="L558" i="57" s="1"/>
  <c r="J559" i="57" a="1"/>
  <c r="J559" i="57" s="1"/>
  <c r="K559" i="57" a="1"/>
  <c r="K559" i="57" s="1"/>
  <c r="L559" i="57" a="1"/>
  <c r="L559" i="57" s="1"/>
  <c r="J560" i="57" a="1"/>
  <c r="J560" i="57" s="1"/>
  <c r="K560" i="57" a="1"/>
  <c r="K560" i="57" s="1"/>
  <c r="L560" i="57" a="1"/>
  <c r="L560" i="57" s="1"/>
  <c r="J561" i="57" a="1"/>
  <c r="J561" i="57" s="1"/>
  <c r="K561" i="57" a="1"/>
  <c r="K561" i="57" s="1"/>
  <c r="L561" i="57" a="1"/>
  <c r="L561" i="57" s="1"/>
  <c r="J562" i="57" a="1"/>
  <c r="J562" i="57" s="1"/>
  <c r="K562" i="57" a="1"/>
  <c r="K562" i="57" s="1"/>
  <c r="L562" i="57" a="1"/>
  <c r="L562" i="57" s="1"/>
  <c r="J563" i="57" a="1"/>
  <c r="J563" i="57" s="1"/>
  <c r="K563" i="57" a="1"/>
  <c r="K563" i="57" s="1"/>
  <c r="L563" i="57" a="1"/>
  <c r="L563" i="57" s="1"/>
  <c r="J564" i="57" a="1"/>
  <c r="J564" i="57" s="1"/>
  <c r="K564" i="57" a="1"/>
  <c r="K564" i="57" s="1"/>
  <c r="L564" i="57" a="1"/>
  <c r="L564" i="57" s="1"/>
  <c r="J565" i="57" a="1"/>
  <c r="J565" i="57" s="1"/>
  <c r="K565" i="57" a="1"/>
  <c r="K565" i="57" s="1"/>
  <c r="L565" i="57" a="1"/>
  <c r="L565" i="57" s="1"/>
  <c r="J566" i="57" a="1"/>
  <c r="J566" i="57" s="1"/>
  <c r="K566" i="57" a="1"/>
  <c r="K566" i="57" s="1"/>
  <c r="L566" i="57" a="1"/>
  <c r="L566" i="57" s="1"/>
  <c r="J567" i="57" a="1"/>
  <c r="J567" i="57" s="1"/>
  <c r="K567" i="57" a="1"/>
  <c r="K567" i="57" s="1"/>
  <c r="L567" i="57" a="1"/>
  <c r="L567" i="57" s="1"/>
  <c r="J568" i="57" a="1"/>
  <c r="J568" i="57" s="1"/>
  <c r="K568" i="57" a="1"/>
  <c r="K568" i="57" s="1"/>
  <c r="L568" i="57" a="1"/>
  <c r="L568" i="57" s="1"/>
  <c r="J569" i="57" a="1"/>
  <c r="J569" i="57" s="1"/>
  <c r="K569" i="57" a="1"/>
  <c r="K569" i="57" s="1"/>
  <c r="L569" i="57" a="1"/>
  <c r="L569" i="57" s="1"/>
  <c r="J570" i="57" a="1"/>
  <c r="J570" i="57" s="1"/>
  <c r="K570" i="57" a="1"/>
  <c r="K570" i="57" s="1"/>
  <c r="L570" i="57" a="1"/>
  <c r="L570" i="57" s="1"/>
  <c r="J571" i="57" a="1"/>
  <c r="J571" i="57" s="1"/>
  <c r="K571" i="57" a="1"/>
  <c r="K571" i="57" s="1"/>
  <c r="L571" i="57" a="1"/>
  <c r="L571" i="57" s="1"/>
  <c r="J572" i="57" a="1"/>
  <c r="J572" i="57" s="1"/>
  <c r="K572" i="57" a="1"/>
  <c r="K572" i="57" s="1"/>
  <c r="L572" i="57" a="1"/>
  <c r="L572" i="57" s="1"/>
  <c r="J573" i="57" a="1"/>
  <c r="J573" i="57" s="1"/>
  <c r="K573" i="57" a="1"/>
  <c r="K573" i="57" s="1"/>
  <c r="L573" i="57" a="1"/>
  <c r="L573" i="57" s="1"/>
  <c r="J574" i="57" a="1"/>
  <c r="J574" i="57" s="1"/>
  <c r="K574" i="57" a="1"/>
  <c r="K574" i="57" s="1"/>
  <c r="L574" i="57" a="1"/>
  <c r="L574" i="57" s="1"/>
  <c r="L542" i="57" a="1"/>
  <c r="L542" i="57" s="1"/>
  <c r="K542" i="57" a="1"/>
  <c r="K542" i="57" s="1"/>
  <c r="J542" i="57" a="1"/>
  <c r="J542" i="57" s="1"/>
  <c r="H17" i="42"/>
  <c r="M17" i="42"/>
  <c r="O17" i="42" s="1"/>
  <c r="K17" i="42"/>
  <c r="I17" i="42"/>
  <c r="J17" i="42"/>
  <c r="S17" i="42"/>
  <c r="AA17" i="42" s="1"/>
  <c r="H18" i="42"/>
  <c r="M18" i="42"/>
  <c r="O18" i="42" s="1"/>
  <c r="R18" i="42" s="1"/>
  <c r="I18" i="42"/>
  <c r="J18" i="42"/>
  <c r="S18" i="42"/>
  <c r="W18" i="42" s="1"/>
  <c r="H19" i="42"/>
  <c r="M19" i="42"/>
  <c r="O19" i="42" s="1"/>
  <c r="R19" i="42" s="1"/>
  <c r="I19" i="42"/>
  <c r="J19" i="42"/>
  <c r="S19" i="42"/>
  <c r="W19" i="42" s="1"/>
  <c r="H20" i="42"/>
  <c r="M20" i="42"/>
  <c r="O20" i="42" s="1"/>
  <c r="R20" i="42" s="1"/>
  <c r="I20" i="42"/>
  <c r="J20" i="42"/>
  <c r="S20" i="42"/>
  <c r="H21" i="42"/>
  <c r="M21" i="42"/>
  <c r="O21" i="42" s="1"/>
  <c r="R21" i="42" s="1"/>
  <c r="I21" i="42"/>
  <c r="J21" i="42"/>
  <c r="S21" i="42"/>
  <c r="AA21" i="42" s="1"/>
  <c r="I547" i="57" a="1"/>
  <c r="I547" i="57" s="1"/>
  <c r="H22" i="42"/>
  <c r="M22" i="42"/>
  <c r="O22" i="42" s="1"/>
  <c r="R22" i="42" s="1"/>
  <c r="I22" i="42"/>
  <c r="J22" i="42"/>
  <c r="S22" i="42"/>
  <c r="W22" i="42" s="1"/>
  <c r="H23" i="42"/>
  <c r="M23" i="42"/>
  <c r="O23" i="42" s="1"/>
  <c r="R23" i="42" s="1"/>
  <c r="I23" i="42"/>
  <c r="J23" i="42"/>
  <c r="S23" i="42"/>
  <c r="I549" i="57" a="1"/>
  <c r="I549" i="57" s="1"/>
  <c r="H24" i="42"/>
  <c r="M24" i="42"/>
  <c r="O24" i="42" s="1"/>
  <c r="K24" i="42"/>
  <c r="I24" i="42"/>
  <c r="J24" i="42"/>
  <c r="S24" i="42"/>
  <c r="AA24" i="42" s="1"/>
  <c r="I550" i="57" s="1" a="1"/>
  <c r="I550" i="57" s="1"/>
  <c r="H25" i="42"/>
  <c r="M25" i="42"/>
  <c r="O25" i="42" s="1"/>
  <c r="K25" i="42"/>
  <c r="I25" i="42"/>
  <c r="J25" i="42"/>
  <c r="S25" i="42"/>
  <c r="I551" i="57" a="1"/>
  <c r="I551" i="57" s="1"/>
  <c r="H26" i="42"/>
  <c r="M26" i="42"/>
  <c r="O26" i="42" s="1"/>
  <c r="R26" i="42" s="1"/>
  <c r="I26" i="42"/>
  <c r="J26" i="42"/>
  <c r="S26" i="42"/>
  <c r="W26" i="42" s="1"/>
  <c r="H27" i="42"/>
  <c r="M27" i="42"/>
  <c r="O27" i="42" s="1"/>
  <c r="R27" i="42" s="1"/>
  <c r="I27" i="42"/>
  <c r="J27" i="42"/>
  <c r="S27" i="42"/>
  <c r="W27" i="42" s="1"/>
  <c r="H28" i="42"/>
  <c r="M28" i="42"/>
  <c r="O28" i="42" s="1"/>
  <c r="R28" i="42" s="1"/>
  <c r="I28" i="42"/>
  <c r="J28" i="42"/>
  <c r="S28" i="42"/>
  <c r="H29" i="42"/>
  <c r="M29" i="42"/>
  <c r="O29" i="42" s="1"/>
  <c r="R29" i="42" s="1"/>
  <c r="I29" i="42"/>
  <c r="J29" i="42"/>
  <c r="S29" i="42"/>
  <c r="AA29" i="42" s="1"/>
  <c r="I555" i="57" s="1" a="1"/>
  <c r="I555" i="57" s="1"/>
  <c r="H30" i="42"/>
  <c r="M30" i="42"/>
  <c r="O30" i="42" s="1"/>
  <c r="R30" i="42" s="1"/>
  <c r="I30" i="42"/>
  <c r="J30" i="42"/>
  <c r="S30" i="42"/>
  <c r="W30" i="42" s="1"/>
  <c r="K30" i="42"/>
  <c r="I556" i="57" a="1"/>
  <c r="I556" i="57" s="1"/>
  <c r="H31" i="42"/>
  <c r="M31" i="42"/>
  <c r="O31" i="42" s="1"/>
  <c r="R31" i="42" s="1"/>
  <c r="I31" i="42"/>
  <c r="J31" i="42"/>
  <c r="S31" i="42"/>
  <c r="K31" i="42"/>
  <c r="H32" i="42"/>
  <c r="M32" i="42"/>
  <c r="O32" i="42" s="1"/>
  <c r="R32" i="42" s="1"/>
  <c r="I32" i="42"/>
  <c r="J32" i="42"/>
  <c r="S32" i="42"/>
  <c r="AA32" i="42" s="1"/>
  <c r="K32" i="42"/>
  <c r="H33" i="42"/>
  <c r="M33" i="42"/>
  <c r="O33" i="42" s="1"/>
  <c r="R33" i="42" s="1"/>
  <c r="I33" i="42"/>
  <c r="J33" i="42"/>
  <c r="S33" i="42"/>
  <c r="H34" i="42"/>
  <c r="M34" i="42"/>
  <c r="O34" i="42" s="1"/>
  <c r="R34" i="42" s="1"/>
  <c r="I34" i="42"/>
  <c r="J34" i="42"/>
  <c r="S34" i="42"/>
  <c r="W34" i="42" s="1"/>
  <c r="H35" i="42"/>
  <c r="M35" i="42"/>
  <c r="O35" i="42" s="1"/>
  <c r="K35" i="42"/>
  <c r="I35" i="42"/>
  <c r="J35" i="42"/>
  <c r="S35" i="42"/>
  <c r="AA35" i="42" s="1"/>
  <c r="H36" i="42"/>
  <c r="M36" i="42"/>
  <c r="O36" i="42" s="1"/>
  <c r="K36" i="42"/>
  <c r="I36" i="42"/>
  <c r="J36" i="42"/>
  <c r="S36" i="42"/>
  <c r="W36" i="42" s="1"/>
  <c r="H37" i="42"/>
  <c r="M37" i="42"/>
  <c r="O37" i="42" s="1"/>
  <c r="R37" i="42" s="1"/>
  <c r="I37" i="42"/>
  <c r="J37" i="42"/>
  <c r="S37" i="42"/>
  <c r="H38" i="42"/>
  <c r="M38" i="42"/>
  <c r="O38" i="42" s="1"/>
  <c r="K38" i="42"/>
  <c r="I38" i="42"/>
  <c r="J38" i="42"/>
  <c r="S38" i="42"/>
  <c r="H39" i="42"/>
  <c r="M39" i="42"/>
  <c r="O39" i="42" s="1"/>
  <c r="K39" i="42"/>
  <c r="I39" i="42"/>
  <c r="J39" i="42"/>
  <c r="S39" i="42"/>
  <c r="W39" i="42" s="1"/>
  <c r="I565" i="57" a="1"/>
  <c r="I565" i="57" s="1"/>
  <c r="H40" i="42"/>
  <c r="M40" i="42"/>
  <c r="O40" i="42" s="1"/>
  <c r="R40" i="42" s="1"/>
  <c r="I40" i="42"/>
  <c r="J40" i="42"/>
  <c r="S40" i="42"/>
  <c r="H41" i="42"/>
  <c r="M41" i="42"/>
  <c r="O41" i="42" s="1"/>
  <c r="R41" i="42" s="1"/>
  <c r="I41" i="42"/>
  <c r="J41" i="42"/>
  <c r="S41" i="42"/>
  <c r="H42" i="42"/>
  <c r="M42" i="42"/>
  <c r="O42" i="42" s="1"/>
  <c r="R42" i="42" s="1"/>
  <c r="I42" i="42"/>
  <c r="J42" i="42"/>
  <c r="S42" i="42"/>
  <c r="I568" i="57" a="1"/>
  <c r="I568" i="57" s="1"/>
  <c r="H43" i="42"/>
  <c r="M43" i="42"/>
  <c r="O43" i="42" s="1"/>
  <c r="K43" i="42"/>
  <c r="I43" i="42"/>
  <c r="J43" i="42"/>
  <c r="S43" i="42"/>
  <c r="AA43" i="42" s="1"/>
  <c r="H44" i="42"/>
  <c r="M44" i="42"/>
  <c r="O44" i="42" s="1"/>
  <c r="K44" i="42"/>
  <c r="I44" i="42"/>
  <c r="J44" i="42"/>
  <c r="S44" i="42"/>
  <c r="W44" i="42" s="1"/>
  <c r="H45" i="42"/>
  <c r="M45" i="42"/>
  <c r="O45" i="42" s="1"/>
  <c r="K45" i="42"/>
  <c r="I45" i="42"/>
  <c r="J45" i="42"/>
  <c r="S45" i="42"/>
  <c r="H46" i="42"/>
  <c r="M46" i="42"/>
  <c r="O46" i="42" s="1"/>
  <c r="K46" i="42"/>
  <c r="I46" i="42"/>
  <c r="J46" i="42"/>
  <c r="S46" i="42"/>
  <c r="H47" i="42"/>
  <c r="M47" i="42"/>
  <c r="O47" i="42" s="1"/>
  <c r="K47" i="42"/>
  <c r="I47" i="42"/>
  <c r="J47" i="42"/>
  <c r="S47" i="42"/>
  <c r="AA47" i="42" s="1"/>
  <c r="S16" i="42"/>
  <c r="AA16" i="42" s="1"/>
  <c r="H16" i="42"/>
  <c r="M16" i="42"/>
  <c r="O16" i="42" s="1"/>
  <c r="K16" i="42"/>
  <c r="I16" i="42"/>
  <c r="J16" i="42"/>
  <c r="F12" i="41"/>
  <c r="H541" i="57" s="1" a="1"/>
  <c r="H541" i="57" s="1"/>
  <c r="F8" i="41"/>
  <c r="H537" i="57" s="1" a="1"/>
  <c r="H537" i="57" s="1"/>
  <c r="G8" i="41"/>
  <c r="I537" i="57" s="1" a="1"/>
  <c r="I537" i="57" s="1"/>
  <c r="J537" i="57" a="1"/>
  <c r="J537" i="57" s="1"/>
  <c r="F9" i="41"/>
  <c r="H538" i="57" s="1" a="1"/>
  <c r="H538" i="57" s="1"/>
  <c r="G9" i="41"/>
  <c r="I538" i="57" s="1" a="1"/>
  <c r="I538" i="57" s="1"/>
  <c r="J538" i="57" a="1"/>
  <c r="J538" i="57" s="1"/>
  <c r="F10" i="41"/>
  <c r="H539" i="57" s="1" a="1"/>
  <c r="H539" i="57" s="1"/>
  <c r="G10" i="41"/>
  <c r="I539" i="57" s="1" a="1"/>
  <c r="I539" i="57" s="1"/>
  <c r="J539" i="57" a="1"/>
  <c r="J539" i="57" s="1"/>
  <c r="F11" i="41"/>
  <c r="H540" i="57" s="1" a="1"/>
  <c r="H540" i="57" s="1"/>
  <c r="G11" i="41"/>
  <c r="I540" i="57" s="1" a="1"/>
  <c r="I540" i="57" s="1"/>
  <c r="J540" i="57" a="1"/>
  <c r="J540" i="57" s="1"/>
  <c r="G12" i="41"/>
  <c r="I541" i="57" s="1" a="1"/>
  <c r="I541" i="57" s="1"/>
  <c r="J541" i="57" a="1"/>
  <c r="J541" i="57" s="1"/>
  <c r="J536" i="57" a="1"/>
  <c r="J536" i="57" s="1"/>
  <c r="G7" i="41"/>
  <c r="I536" i="57" s="1" a="1"/>
  <c r="I536" i="57" s="1"/>
  <c r="F7" i="41"/>
  <c r="H536" i="57" s="1" a="1"/>
  <c r="H536" i="57" s="1"/>
  <c r="F33" i="40"/>
  <c r="H535" i="57" s="1" a="1"/>
  <c r="H535" i="57" s="1"/>
  <c r="F8" i="40"/>
  <c r="H510" i="57" s="1" a="1"/>
  <c r="H510" i="57" s="1"/>
  <c r="G8" i="40"/>
  <c r="I510" i="57" s="1" a="1"/>
  <c r="I510" i="57" s="1"/>
  <c r="J510" i="57" a="1"/>
  <c r="J510" i="57" s="1"/>
  <c r="F9" i="40"/>
  <c r="H511" i="57" s="1" a="1"/>
  <c r="H511" i="57" s="1"/>
  <c r="G9" i="40"/>
  <c r="I511" i="57" s="1" a="1"/>
  <c r="I511" i="57" s="1"/>
  <c r="J511" i="57" a="1"/>
  <c r="J511" i="57" s="1"/>
  <c r="F10" i="40"/>
  <c r="H512" i="57" s="1" a="1"/>
  <c r="H512" i="57" s="1"/>
  <c r="G10" i="40"/>
  <c r="I512" i="57" s="1" a="1"/>
  <c r="I512" i="57" s="1"/>
  <c r="J512" i="57" a="1"/>
  <c r="J512" i="57" s="1"/>
  <c r="F11" i="40"/>
  <c r="H513" i="57" s="1" a="1"/>
  <c r="H513" i="57" s="1"/>
  <c r="G11" i="40"/>
  <c r="I513" i="57" s="1" a="1"/>
  <c r="I513" i="57" s="1"/>
  <c r="J513" i="57" a="1"/>
  <c r="J513" i="57" s="1"/>
  <c r="F12" i="40"/>
  <c r="H514" i="57" s="1" a="1"/>
  <c r="H514" i="57" s="1"/>
  <c r="G12" i="40"/>
  <c r="I514" i="57" s="1" a="1"/>
  <c r="I514" i="57" s="1"/>
  <c r="J514" i="57" a="1"/>
  <c r="J514" i="57" s="1"/>
  <c r="F13" i="40"/>
  <c r="H515" i="57" s="1" a="1"/>
  <c r="H515" i="57" s="1"/>
  <c r="G13" i="40"/>
  <c r="I515" i="57" s="1" a="1"/>
  <c r="I515" i="57" s="1"/>
  <c r="J515" i="57" a="1"/>
  <c r="J515" i="57" s="1"/>
  <c r="F14" i="40"/>
  <c r="H516" i="57" s="1" a="1"/>
  <c r="H516" i="57" s="1"/>
  <c r="G14" i="40"/>
  <c r="I516" i="57" s="1" a="1"/>
  <c r="I516" i="57" s="1"/>
  <c r="J516" i="57" a="1"/>
  <c r="J516" i="57" s="1"/>
  <c r="F15" i="40"/>
  <c r="H517" i="57" s="1" a="1"/>
  <c r="H517" i="57" s="1"/>
  <c r="G15" i="40"/>
  <c r="I517" i="57" s="1" a="1"/>
  <c r="I517" i="57" s="1"/>
  <c r="J517" i="57" a="1"/>
  <c r="J517" i="57" s="1"/>
  <c r="F16" i="40"/>
  <c r="H518" i="57" s="1" a="1"/>
  <c r="H518" i="57" s="1"/>
  <c r="G16" i="40"/>
  <c r="I518" i="57" s="1" a="1"/>
  <c r="I518" i="57" s="1"/>
  <c r="J518" i="57" a="1"/>
  <c r="J518" i="57" s="1"/>
  <c r="F17" i="40"/>
  <c r="H519" i="57" s="1" a="1"/>
  <c r="H519" i="57" s="1"/>
  <c r="G17" i="40"/>
  <c r="I519" i="57" s="1" a="1"/>
  <c r="I519" i="57" s="1"/>
  <c r="J519" i="57" a="1"/>
  <c r="J519" i="57" s="1"/>
  <c r="F18" i="40"/>
  <c r="H520" i="57" s="1" a="1"/>
  <c r="H520" i="57" s="1"/>
  <c r="G18" i="40"/>
  <c r="I520" i="57" s="1" a="1"/>
  <c r="I520" i="57" s="1"/>
  <c r="J520" i="57" a="1"/>
  <c r="J520" i="57" s="1"/>
  <c r="F19" i="40"/>
  <c r="H521" i="57" s="1" a="1"/>
  <c r="H521" i="57" s="1"/>
  <c r="G19" i="40"/>
  <c r="I521" i="57" s="1" a="1"/>
  <c r="I521" i="57" s="1"/>
  <c r="J521" i="57" a="1"/>
  <c r="J521" i="57" s="1"/>
  <c r="F20" i="40"/>
  <c r="H522" i="57" s="1" a="1"/>
  <c r="H522" i="57" s="1"/>
  <c r="G20" i="40"/>
  <c r="I522" i="57" s="1" a="1"/>
  <c r="I522" i="57" s="1"/>
  <c r="J522" i="57" a="1"/>
  <c r="J522" i="57" s="1"/>
  <c r="F21" i="40"/>
  <c r="H523" i="57" s="1" a="1"/>
  <c r="H523" i="57" s="1"/>
  <c r="G21" i="40"/>
  <c r="I523" i="57" s="1" a="1"/>
  <c r="I523" i="57" s="1"/>
  <c r="J523" i="57" a="1"/>
  <c r="J523" i="57" s="1"/>
  <c r="F22" i="40"/>
  <c r="H524" i="57" s="1" a="1"/>
  <c r="H524" i="57" s="1"/>
  <c r="G22" i="40"/>
  <c r="I524" i="57" s="1" a="1"/>
  <c r="I524" i="57" s="1"/>
  <c r="J524" i="57" a="1"/>
  <c r="J524" i="57" s="1"/>
  <c r="F23" i="40"/>
  <c r="H525" i="57" s="1" a="1"/>
  <c r="H525" i="57" s="1"/>
  <c r="G23" i="40"/>
  <c r="I525" i="57" s="1" a="1"/>
  <c r="I525" i="57" s="1"/>
  <c r="J525" i="57" a="1"/>
  <c r="J525" i="57" s="1"/>
  <c r="F24" i="40"/>
  <c r="H526" i="57" s="1" a="1"/>
  <c r="H526" i="57" s="1"/>
  <c r="G24" i="40"/>
  <c r="I526" i="57" s="1" a="1"/>
  <c r="I526" i="57" s="1"/>
  <c r="J526" i="57" a="1"/>
  <c r="J526" i="57" s="1"/>
  <c r="F25" i="40"/>
  <c r="H527" i="57" s="1" a="1"/>
  <c r="H527" i="57" s="1"/>
  <c r="G25" i="40"/>
  <c r="I527" i="57" s="1" a="1"/>
  <c r="I527" i="57" s="1"/>
  <c r="J527" i="57" a="1"/>
  <c r="J527" i="57" s="1"/>
  <c r="F26" i="40"/>
  <c r="H528" i="57" s="1" a="1"/>
  <c r="H528" i="57" s="1"/>
  <c r="G26" i="40"/>
  <c r="I528" i="57" s="1" a="1"/>
  <c r="I528" i="57" s="1"/>
  <c r="J528" i="57" a="1"/>
  <c r="J528" i="57" s="1"/>
  <c r="F27" i="40"/>
  <c r="H529" i="57" s="1" a="1"/>
  <c r="H529" i="57" s="1"/>
  <c r="G27" i="40"/>
  <c r="I529" i="57" s="1" a="1"/>
  <c r="I529" i="57" s="1"/>
  <c r="J529" i="57" a="1"/>
  <c r="J529" i="57" s="1"/>
  <c r="F28" i="40"/>
  <c r="H530" i="57" s="1" a="1"/>
  <c r="H530" i="57" s="1"/>
  <c r="G28" i="40"/>
  <c r="I530" i="57" s="1" a="1"/>
  <c r="I530" i="57" s="1"/>
  <c r="J530" i="57" a="1"/>
  <c r="J530" i="57" s="1"/>
  <c r="F29" i="40"/>
  <c r="H531" i="57" s="1" a="1"/>
  <c r="H531" i="57" s="1"/>
  <c r="G29" i="40"/>
  <c r="I531" i="57" s="1" a="1"/>
  <c r="I531" i="57" s="1"/>
  <c r="J531" i="57" a="1"/>
  <c r="J531" i="57" s="1"/>
  <c r="F30" i="40"/>
  <c r="H532" i="57" s="1" a="1"/>
  <c r="H532" i="57" s="1"/>
  <c r="G30" i="40"/>
  <c r="I532" i="57" s="1" a="1"/>
  <c r="I532" i="57" s="1"/>
  <c r="J532" i="57" a="1"/>
  <c r="J532" i="57" s="1"/>
  <c r="F31" i="40"/>
  <c r="H533" i="57" s="1" a="1"/>
  <c r="H533" i="57" s="1"/>
  <c r="G31" i="40"/>
  <c r="I533" i="57" s="1" a="1"/>
  <c r="I533" i="57" s="1"/>
  <c r="J533" i="57" a="1"/>
  <c r="J533" i="57" s="1"/>
  <c r="F32" i="40"/>
  <c r="H534" i="57" s="1" a="1"/>
  <c r="H534" i="57" s="1"/>
  <c r="G32" i="40"/>
  <c r="I534" i="57" s="1" a="1"/>
  <c r="I534" i="57" s="1"/>
  <c r="J534" i="57" a="1"/>
  <c r="J534" i="57" s="1"/>
  <c r="G33" i="40"/>
  <c r="I535" i="57" s="1" a="1"/>
  <c r="I535" i="57" s="1"/>
  <c r="J535" i="57" a="1"/>
  <c r="J535" i="57" s="1"/>
  <c r="J509" i="57" a="1"/>
  <c r="J509" i="57" s="1"/>
  <c r="G7" i="40"/>
  <c r="I509" i="57" s="1" a="1"/>
  <c r="I509" i="57" s="1"/>
  <c r="F7" i="40"/>
  <c r="H509" i="57" s="1" a="1"/>
  <c r="H509" i="57" s="1"/>
  <c r="F67" i="35"/>
  <c r="H508" i="57" s="1" a="1"/>
  <c r="H508" i="57" s="1"/>
  <c r="F51" i="35"/>
  <c r="H492" i="57" s="1" a="1"/>
  <c r="H492" i="57" s="1"/>
  <c r="G51" i="35"/>
  <c r="I492" i="57" s="1" a="1"/>
  <c r="I492" i="57" s="1"/>
  <c r="J492" i="57" a="1"/>
  <c r="J492" i="57" s="1"/>
  <c r="K492" i="57" a="1"/>
  <c r="K492" i="57" s="1"/>
  <c r="F52" i="35"/>
  <c r="H493" i="57" s="1" a="1"/>
  <c r="H493" i="57" s="1"/>
  <c r="G52" i="35"/>
  <c r="I493" i="57" s="1" a="1"/>
  <c r="I493" i="57" s="1"/>
  <c r="J493" i="57" a="1"/>
  <c r="J493" i="57" s="1"/>
  <c r="K493" i="57" a="1"/>
  <c r="K493" i="57" s="1"/>
  <c r="F53" i="35"/>
  <c r="H494" i="57" s="1" a="1"/>
  <c r="H494" i="57" s="1"/>
  <c r="G53" i="35"/>
  <c r="I494" i="57" s="1" a="1"/>
  <c r="I494" i="57" s="1"/>
  <c r="J494" i="57" a="1"/>
  <c r="J494" i="57" s="1"/>
  <c r="K494" i="57" a="1"/>
  <c r="K494" i="57" s="1"/>
  <c r="F54" i="35"/>
  <c r="H495" i="57" s="1" a="1"/>
  <c r="H495" i="57" s="1"/>
  <c r="G54" i="35"/>
  <c r="I495" i="57" s="1" a="1"/>
  <c r="I495" i="57" s="1"/>
  <c r="J495" i="57" a="1"/>
  <c r="J495" i="57" s="1"/>
  <c r="K495" i="57" a="1"/>
  <c r="K495" i="57" s="1"/>
  <c r="F55" i="35"/>
  <c r="H496" i="57" s="1" a="1"/>
  <c r="H496" i="57" s="1"/>
  <c r="G55" i="35"/>
  <c r="I496" i="57" s="1" a="1"/>
  <c r="I496" i="57" s="1"/>
  <c r="J496" i="57" a="1"/>
  <c r="J496" i="57" s="1"/>
  <c r="K496" i="57" a="1"/>
  <c r="K496" i="57" s="1"/>
  <c r="F56" i="35"/>
  <c r="G56" i="35"/>
  <c r="J497" i="57" a="1"/>
  <c r="J497" i="57" s="1"/>
  <c r="K497" i="57" a="1"/>
  <c r="K497" i="57" s="1"/>
  <c r="F57" i="35"/>
  <c r="G57" i="35"/>
  <c r="J498" i="57" a="1"/>
  <c r="J498" i="57" s="1"/>
  <c r="K498" i="57" a="1"/>
  <c r="K498" i="57" s="1"/>
  <c r="F58" i="35"/>
  <c r="H499" i="57" s="1" a="1"/>
  <c r="H499" i="57" s="1"/>
  <c r="G58" i="35"/>
  <c r="I499" i="57" s="1" a="1"/>
  <c r="I499" i="57" s="1"/>
  <c r="J499" i="57" a="1"/>
  <c r="J499" i="57" s="1"/>
  <c r="K499" i="57" a="1"/>
  <c r="K499" i="57" s="1"/>
  <c r="H500" i="57" a="1"/>
  <c r="H500" i="57" s="1"/>
  <c r="G59" i="35"/>
  <c r="I500" i="57" s="1" a="1"/>
  <c r="I500" i="57" s="1"/>
  <c r="J500" i="57" a="1"/>
  <c r="J500" i="57" s="1"/>
  <c r="K500" i="57" a="1"/>
  <c r="K500" i="57" s="1"/>
  <c r="F60" i="35"/>
  <c r="H501" i="57" s="1" a="1"/>
  <c r="H501" i="57" s="1"/>
  <c r="G60" i="35"/>
  <c r="I501" i="57" s="1" a="1"/>
  <c r="I501" i="57" s="1"/>
  <c r="J501" i="57" a="1"/>
  <c r="J501" i="57" s="1"/>
  <c r="K501" i="57" a="1"/>
  <c r="K501" i="57" s="1"/>
  <c r="F61" i="35"/>
  <c r="H502" i="57" s="1" a="1"/>
  <c r="H502" i="57" s="1"/>
  <c r="G61" i="35"/>
  <c r="I502" i="57" s="1" a="1"/>
  <c r="I502" i="57" s="1"/>
  <c r="J502" i="57" a="1"/>
  <c r="J502" i="57" s="1"/>
  <c r="K502" i="57" a="1"/>
  <c r="K502" i="57" s="1"/>
  <c r="F62" i="35"/>
  <c r="H503" i="57" s="1" a="1"/>
  <c r="H503" i="57" s="1"/>
  <c r="G62" i="35"/>
  <c r="I503" i="57" s="1" a="1"/>
  <c r="I503" i="57" s="1"/>
  <c r="J503" i="57" a="1"/>
  <c r="J503" i="57" s="1"/>
  <c r="K503" i="57" a="1"/>
  <c r="K503" i="57" s="1"/>
  <c r="F63" i="35"/>
  <c r="H504" i="57" s="1" a="1"/>
  <c r="H504" i="57" s="1"/>
  <c r="G63" i="35"/>
  <c r="I504" i="57" s="1" a="1"/>
  <c r="I504" i="57" s="1"/>
  <c r="J504" i="57" a="1"/>
  <c r="J504" i="57" s="1"/>
  <c r="K504" i="57" a="1"/>
  <c r="K504" i="57" s="1"/>
  <c r="H505" i="57" a="1"/>
  <c r="H505" i="57" s="1"/>
  <c r="G64" i="35"/>
  <c r="I505" i="57" s="1" a="1"/>
  <c r="I505" i="57" s="1"/>
  <c r="J505" i="57" a="1"/>
  <c r="J505" i="57" s="1"/>
  <c r="K505" i="57" a="1"/>
  <c r="K505" i="57" s="1"/>
  <c r="F65" i="35"/>
  <c r="H506" i="57" s="1" a="1"/>
  <c r="H506" i="57" s="1"/>
  <c r="G65" i="35"/>
  <c r="I506" i="57" s="1" a="1"/>
  <c r="I506" i="57" s="1"/>
  <c r="J506" i="57" a="1"/>
  <c r="J506" i="57" s="1"/>
  <c r="K506" i="57" a="1"/>
  <c r="K506" i="57" s="1"/>
  <c r="F66" i="35"/>
  <c r="H507" i="57" s="1" a="1"/>
  <c r="H507" i="57" s="1"/>
  <c r="G66" i="35"/>
  <c r="I507" i="57" s="1" a="1"/>
  <c r="I507" i="57" s="1"/>
  <c r="J507" i="57" a="1"/>
  <c r="J507" i="57" s="1"/>
  <c r="K507" i="57" a="1"/>
  <c r="K507" i="57" s="1"/>
  <c r="G67" i="35"/>
  <c r="I508" i="57" s="1" a="1"/>
  <c r="I508" i="57" s="1"/>
  <c r="J508" i="57" a="1"/>
  <c r="J508" i="57" s="1"/>
  <c r="K508" i="57" a="1"/>
  <c r="K508" i="57" s="1"/>
  <c r="K491" i="57" a="1"/>
  <c r="K491" i="57" s="1"/>
  <c r="J491" i="57" a="1"/>
  <c r="J491" i="57" s="1"/>
  <c r="G50" i="35"/>
  <c r="I491" i="57" s="1" a="1"/>
  <c r="I491" i="57" s="1"/>
  <c r="F50" i="35"/>
  <c r="H491" i="57" s="1" a="1"/>
  <c r="H491" i="57" s="1"/>
  <c r="F43" i="35"/>
  <c r="H490" i="57" s="1" a="1"/>
  <c r="H490" i="57" s="1"/>
  <c r="K475" i="57" a="1"/>
  <c r="K475" i="57" s="1"/>
  <c r="K476" i="57" a="1"/>
  <c r="K476" i="57" s="1"/>
  <c r="K477" i="57" a="1"/>
  <c r="K477" i="57" s="1"/>
  <c r="K478" i="57" a="1"/>
  <c r="K478" i="57" s="1"/>
  <c r="K479" i="57" a="1"/>
  <c r="K479" i="57" s="1"/>
  <c r="K480" i="57" a="1"/>
  <c r="K480" i="57" s="1"/>
  <c r="K481" i="57" a="1"/>
  <c r="K481" i="57" s="1"/>
  <c r="K482" i="57" a="1"/>
  <c r="K482" i="57" s="1"/>
  <c r="K483" i="57" a="1"/>
  <c r="K483" i="57" s="1"/>
  <c r="K484" i="57" a="1"/>
  <c r="K484" i="57" s="1"/>
  <c r="K485" i="57" a="1"/>
  <c r="K485" i="57" s="1"/>
  <c r="K486" i="57" a="1"/>
  <c r="K486" i="57" s="1"/>
  <c r="K487" i="57" a="1"/>
  <c r="K487" i="57" s="1"/>
  <c r="K488" i="57" a="1"/>
  <c r="K488" i="57" s="1"/>
  <c r="K489" i="57" a="1"/>
  <c r="K489" i="57" s="1"/>
  <c r="K490" i="57" a="1"/>
  <c r="K490" i="57" s="1"/>
  <c r="K474" i="57" a="1"/>
  <c r="K474" i="57" s="1"/>
  <c r="F28" i="35"/>
  <c r="H475" i="57" s="1" a="1"/>
  <c r="H475" i="57" s="1"/>
  <c r="G28" i="35"/>
  <c r="I475" i="57" s="1" a="1"/>
  <c r="I475" i="57" s="1"/>
  <c r="J475" i="57" a="1"/>
  <c r="J475" i="57" s="1"/>
  <c r="F29" i="35"/>
  <c r="H476" i="57" s="1" a="1"/>
  <c r="H476" i="57" s="1"/>
  <c r="G29" i="35"/>
  <c r="I476" i="57" s="1" a="1"/>
  <c r="I476" i="57" s="1"/>
  <c r="J476" i="57" a="1"/>
  <c r="J476" i="57" s="1"/>
  <c r="F30" i="35"/>
  <c r="H477" i="57" s="1" a="1"/>
  <c r="H477" i="57" s="1"/>
  <c r="G30" i="35"/>
  <c r="I477" i="57" s="1" a="1"/>
  <c r="I477" i="57" s="1"/>
  <c r="J477" i="57" a="1"/>
  <c r="J477" i="57" s="1"/>
  <c r="F31" i="35"/>
  <c r="H478" i="57" s="1" a="1"/>
  <c r="H478" i="57" s="1"/>
  <c r="G31" i="35"/>
  <c r="I478" i="57" s="1" a="1"/>
  <c r="I478" i="57" s="1"/>
  <c r="J478" i="57" a="1"/>
  <c r="J478" i="57" s="1"/>
  <c r="F32" i="35"/>
  <c r="H479" i="57" s="1" a="1"/>
  <c r="H479" i="57" s="1"/>
  <c r="G32" i="35"/>
  <c r="I479" i="57" s="1" a="1"/>
  <c r="I479" i="57" s="1"/>
  <c r="J479" i="57" a="1"/>
  <c r="J479" i="57" s="1"/>
  <c r="F33" i="35"/>
  <c r="G33" i="35"/>
  <c r="J480" i="57" a="1"/>
  <c r="J480" i="57" s="1"/>
  <c r="F34" i="35"/>
  <c r="G34" i="35"/>
  <c r="J481" i="57" a="1"/>
  <c r="J481" i="57" s="1"/>
  <c r="F35" i="35"/>
  <c r="H482" i="57" s="1" a="1"/>
  <c r="H482" i="57" s="1"/>
  <c r="G35" i="35"/>
  <c r="I482" i="57" s="1" a="1"/>
  <c r="I482" i="57" s="1"/>
  <c r="J482" i="57" a="1"/>
  <c r="J482" i="57" s="1"/>
  <c r="H483" i="57" a="1"/>
  <c r="H483" i="57" s="1"/>
  <c r="G36" i="35"/>
  <c r="I483" i="57" s="1" a="1"/>
  <c r="I483" i="57" s="1"/>
  <c r="J483" i="57" a="1"/>
  <c r="J483" i="57" s="1"/>
  <c r="F37" i="35"/>
  <c r="H484" i="57" s="1" a="1"/>
  <c r="H484" i="57" s="1"/>
  <c r="G37" i="35"/>
  <c r="I484" i="57" s="1" a="1"/>
  <c r="I484" i="57" s="1"/>
  <c r="J484" i="57" a="1"/>
  <c r="J484" i="57" s="1"/>
  <c r="F38" i="35"/>
  <c r="H485" i="57" s="1" a="1"/>
  <c r="H485" i="57" s="1"/>
  <c r="G38" i="35"/>
  <c r="I485" i="57" s="1" a="1"/>
  <c r="I485" i="57" s="1"/>
  <c r="J485" i="57" a="1"/>
  <c r="J485" i="57" s="1"/>
  <c r="F39" i="35"/>
  <c r="H486" i="57" s="1" a="1"/>
  <c r="H486" i="57" s="1"/>
  <c r="G39" i="35"/>
  <c r="I486" i="57" s="1" a="1"/>
  <c r="I486" i="57" s="1"/>
  <c r="J486" i="57" a="1"/>
  <c r="J486" i="57" s="1"/>
  <c r="F40" i="35"/>
  <c r="H487" i="57" s="1" a="1"/>
  <c r="H487" i="57" s="1"/>
  <c r="G40" i="35"/>
  <c r="I487" i="57" s="1" a="1"/>
  <c r="I487" i="57" s="1"/>
  <c r="J487" i="57" a="1"/>
  <c r="J487" i="57" s="1"/>
  <c r="F41" i="35"/>
  <c r="H488" i="57" s="1" a="1"/>
  <c r="H488" i="57" s="1"/>
  <c r="G41" i="35"/>
  <c r="I488" i="57" s="1" a="1"/>
  <c r="I488" i="57" s="1"/>
  <c r="J488" i="57" a="1"/>
  <c r="J488" i="57" s="1"/>
  <c r="F42" i="35"/>
  <c r="H489" i="57" s="1" a="1"/>
  <c r="H489" i="57" s="1"/>
  <c r="G42" i="35"/>
  <c r="I489" i="57" s="1" a="1"/>
  <c r="I489" i="57" s="1"/>
  <c r="J489" i="57" a="1"/>
  <c r="J489" i="57" s="1"/>
  <c r="G43" i="35"/>
  <c r="I490" i="57" s="1" a="1"/>
  <c r="I490" i="57" s="1"/>
  <c r="J490" i="57" a="1"/>
  <c r="J490" i="57" s="1"/>
  <c r="J474" i="57" a="1"/>
  <c r="J474" i="57" s="1"/>
  <c r="G27" i="35"/>
  <c r="I474" i="57" s="1" a="1"/>
  <c r="I474" i="57" s="1"/>
  <c r="F27" i="35"/>
  <c r="H474" i="57" s="1" a="1"/>
  <c r="H474" i="57" s="1"/>
  <c r="F19" i="35"/>
  <c r="H473" i="57" s="1" a="1"/>
  <c r="H473" i="57" s="1"/>
  <c r="F8" i="35"/>
  <c r="H462" i="57" s="1" a="1"/>
  <c r="H462" i="57" s="1"/>
  <c r="G8" i="35"/>
  <c r="I462" i="57" s="1" a="1"/>
  <c r="I462" i="57" s="1"/>
  <c r="J462" i="57" a="1"/>
  <c r="J462" i="57" s="1"/>
  <c r="K462" i="57" a="1"/>
  <c r="K462" i="57" s="1"/>
  <c r="F9" i="35"/>
  <c r="H463" i="57" s="1" a="1"/>
  <c r="H463" i="57" s="1"/>
  <c r="G9" i="35"/>
  <c r="I463" i="57" s="1" a="1"/>
  <c r="I463" i="57" s="1"/>
  <c r="J463" i="57" a="1"/>
  <c r="J463" i="57" s="1"/>
  <c r="K463" i="57" a="1"/>
  <c r="K463" i="57" s="1"/>
  <c r="F10" i="35"/>
  <c r="H464" i="57" s="1" a="1"/>
  <c r="H464" i="57" s="1"/>
  <c r="G10" i="35"/>
  <c r="I464" i="57" s="1" a="1"/>
  <c r="I464" i="57" s="1"/>
  <c r="J464" i="57" a="1"/>
  <c r="J464" i="57" s="1"/>
  <c r="K464" i="57" a="1"/>
  <c r="K464" i="57" s="1"/>
  <c r="F11" i="35"/>
  <c r="H465" i="57" s="1" a="1"/>
  <c r="H465" i="57" s="1"/>
  <c r="G11" i="35"/>
  <c r="I465" i="57" s="1" a="1"/>
  <c r="I465" i="57" s="1"/>
  <c r="J465" i="57" a="1"/>
  <c r="J465" i="57" s="1"/>
  <c r="K465" i="57" a="1"/>
  <c r="K465" i="57" s="1"/>
  <c r="F12" i="35"/>
  <c r="G12" i="35"/>
  <c r="J466" i="57" a="1"/>
  <c r="J466" i="57" s="1"/>
  <c r="K466" i="57" a="1"/>
  <c r="K466" i="57" s="1"/>
  <c r="F13" i="35"/>
  <c r="H466" i="57" s="1" a="1"/>
  <c r="H466" i="57" s="1"/>
  <c r="G13" i="35"/>
  <c r="J467" i="57" a="1"/>
  <c r="J467" i="57" s="1"/>
  <c r="K467" i="57" a="1"/>
  <c r="K467" i="57" s="1"/>
  <c r="F14" i="35"/>
  <c r="H468" i="57" s="1" a="1"/>
  <c r="H468" i="57" s="1"/>
  <c r="G14" i="35"/>
  <c r="I468" i="57" s="1" a="1"/>
  <c r="I468" i="57" s="1"/>
  <c r="J468" i="57" a="1"/>
  <c r="J468" i="57" s="1"/>
  <c r="K468" i="57" a="1"/>
  <c r="K468" i="57" s="1"/>
  <c r="H469" i="57" a="1"/>
  <c r="H469" i="57" s="1"/>
  <c r="G15" i="35"/>
  <c r="I469" i="57" s="1" a="1"/>
  <c r="I469" i="57" s="1"/>
  <c r="J469" i="57" a="1"/>
  <c r="J469" i="57" s="1"/>
  <c r="K469" i="57" a="1"/>
  <c r="K469" i="57" s="1"/>
  <c r="F16" i="35"/>
  <c r="H470" i="57" s="1" a="1"/>
  <c r="H470" i="57" s="1"/>
  <c r="G16" i="35"/>
  <c r="I470" i="57" s="1" a="1"/>
  <c r="I470" i="57" s="1"/>
  <c r="J470" i="57" a="1"/>
  <c r="J470" i="57" s="1"/>
  <c r="K470" i="57" a="1"/>
  <c r="K470" i="57" s="1"/>
  <c r="H471" i="57" a="1"/>
  <c r="H471" i="57" s="1"/>
  <c r="G17" i="35"/>
  <c r="I471" i="57" s="1" a="1"/>
  <c r="I471" i="57" s="1"/>
  <c r="J471" i="57" a="1"/>
  <c r="J471" i="57" s="1"/>
  <c r="K471" i="57" a="1"/>
  <c r="K471" i="57" s="1"/>
  <c r="F18" i="35"/>
  <c r="H472" i="57" s="1" a="1"/>
  <c r="H472" i="57" s="1"/>
  <c r="G18" i="35"/>
  <c r="I472" i="57" s="1" a="1"/>
  <c r="I472" i="57" s="1"/>
  <c r="J472" i="57" a="1"/>
  <c r="J472" i="57" s="1"/>
  <c r="K472" i="57" a="1"/>
  <c r="K472" i="57" s="1"/>
  <c r="G19" i="35"/>
  <c r="I473" i="57" s="1" a="1"/>
  <c r="I473" i="57" s="1"/>
  <c r="J473" i="57" a="1"/>
  <c r="J473" i="57" s="1"/>
  <c r="K473" i="57" a="1"/>
  <c r="K473" i="57" s="1"/>
  <c r="K461" i="57" a="1"/>
  <c r="K461" i="57" s="1"/>
  <c r="J461" i="57" a="1"/>
  <c r="J461" i="57" s="1"/>
  <c r="G7" i="35"/>
  <c r="I461" i="57" s="1" a="1"/>
  <c r="I461" i="57" s="1"/>
  <c r="F7" i="35"/>
  <c r="H461" i="57" s="1" a="1"/>
  <c r="H461" i="57" s="1"/>
  <c r="F52" i="29"/>
  <c r="H52" i="29" s="1"/>
  <c r="H460" i="57" s="1" a="1"/>
  <c r="H460" i="57" s="1"/>
  <c r="F8" i="29"/>
  <c r="H8" i="29" s="1"/>
  <c r="H416" i="57" s="1" a="1"/>
  <c r="H416" i="57" s="1"/>
  <c r="I8" i="29"/>
  <c r="I416" i="57" s="1" a="1"/>
  <c r="I416" i="57" s="1"/>
  <c r="J416" i="57" a="1"/>
  <c r="J416" i="57" s="1"/>
  <c r="K416" i="57" a="1"/>
  <c r="K416" i="57" s="1"/>
  <c r="F9" i="29"/>
  <c r="H9" i="29" s="1"/>
  <c r="H417" i="57" s="1" a="1"/>
  <c r="H417" i="57" s="1"/>
  <c r="I9" i="29"/>
  <c r="I417" i="57" s="1" a="1"/>
  <c r="I417" i="57" s="1"/>
  <c r="J417" i="57" a="1"/>
  <c r="J417" i="57" s="1"/>
  <c r="K417" i="57" a="1"/>
  <c r="K417" i="57" s="1"/>
  <c r="F10" i="29"/>
  <c r="H10" i="29" s="1"/>
  <c r="H418" i="57" s="1" a="1"/>
  <c r="H418" i="57" s="1"/>
  <c r="I10" i="29"/>
  <c r="I418" i="57" s="1" a="1"/>
  <c r="I418" i="57" s="1"/>
  <c r="J418" i="57" a="1"/>
  <c r="J418" i="57" s="1"/>
  <c r="K418" i="57" a="1"/>
  <c r="K418" i="57" s="1"/>
  <c r="G11" i="29"/>
  <c r="H11" i="29" s="1"/>
  <c r="H419" i="57" s="1" a="1"/>
  <c r="H419" i="57" s="1"/>
  <c r="I11" i="29"/>
  <c r="I419" i="57" s="1" a="1"/>
  <c r="I419" i="57" s="1"/>
  <c r="J419" i="57" a="1"/>
  <c r="J419" i="57" s="1"/>
  <c r="K419" i="57" a="1"/>
  <c r="K419" i="57" s="1"/>
  <c r="H12" i="29"/>
  <c r="H420" i="57" s="1" a="1"/>
  <c r="H420" i="57" s="1"/>
  <c r="I12" i="29"/>
  <c r="I420" i="57" s="1" a="1"/>
  <c r="I420" i="57" s="1"/>
  <c r="J420" i="57" a="1"/>
  <c r="J420" i="57" s="1"/>
  <c r="K420" i="57" a="1"/>
  <c r="K420" i="57" s="1"/>
  <c r="D7" i="52"/>
  <c r="G13" i="29" s="1"/>
  <c r="H13" i="29" s="1"/>
  <c r="H421" i="57" s="1" a="1"/>
  <c r="H421" i="57" s="1"/>
  <c r="I13" i="29"/>
  <c r="I421" i="57" s="1" a="1"/>
  <c r="I421" i="57" s="1"/>
  <c r="J421" i="57" a="1"/>
  <c r="J421" i="57" s="1"/>
  <c r="K421" i="57" a="1"/>
  <c r="K421" i="57" s="1"/>
  <c r="H14" i="29"/>
  <c r="H422" i="57" s="1" a="1"/>
  <c r="H422" i="57" s="1"/>
  <c r="I14" i="29"/>
  <c r="I422" i="57" s="1" a="1"/>
  <c r="I422" i="57" s="1"/>
  <c r="J422" i="57" a="1"/>
  <c r="J422" i="57" s="1"/>
  <c r="K422" i="57" a="1"/>
  <c r="K422" i="57" s="1"/>
  <c r="H15" i="29"/>
  <c r="H423" i="57" s="1" a="1"/>
  <c r="H423" i="57" s="1"/>
  <c r="I15" i="29"/>
  <c r="I423" i="57" s="1" a="1"/>
  <c r="I423" i="57" s="1"/>
  <c r="J423" i="57" a="1"/>
  <c r="J423" i="57" s="1"/>
  <c r="K423" i="57" a="1"/>
  <c r="K423" i="57" s="1"/>
  <c r="F16" i="29"/>
  <c r="H16" i="29" s="1"/>
  <c r="H424" i="57" s="1" a="1"/>
  <c r="H424" i="57" s="1"/>
  <c r="I16" i="29"/>
  <c r="I424" i="57" s="1" a="1"/>
  <c r="I424" i="57" s="1"/>
  <c r="J424" i="57" a="1"/>
  <c r="J424" i="57" s="1"/>
  <c r="K424" i="57" a="1"/>
  <c r="K424" i="57" s="1"/>
  <c r="F17" i="29"/>
  <c r="H17" i="29" s="1"/>
  <c r="H425" i="57" s="1" a="1"/>
  <c r="H425" i="57" s="1"/>
  <c r="I17" i="29"/>
  <c r="I425" i="57" s="1" a="1"/>
  <c r="I425" i="57" s="1"/>
  <c r="J425" i="57" a="1"/>
  <c r="J425" i="57" s="1"/>
  <c r="K425" i="57" a="1"/>
  <c r="K425" i="57" s="1"/>
  <c r="F18" i="29"/>
  <c r="H18" i="29" s="1"/>
  <c r="H426" i="57" s="1" a="1"/>
  <c r="H426" i="57" s="1"/>
  <c r="I18" i="29"/>
  <c r="I426" i="57" s="1" a="1"/>
  <c r="I426" i="57" s="1"/>
  <c r="J426" i="57" a="1"/>
  <c r="J426" i="57" s="1"/>
  <c r="K426" i="57" a="1"/>
  <c r="K426" i="57" s="1"/>
  <c r="F19" i="29"/>
  <c r="H19" i="29" s="1"/>
  <c r="H427" i="57" s="1" a="1"/>
  <c r="H427" i="57" s="1"/>
  <c r="I19" i="29"/>
  <c r="I427" i="57" s="1" a="1"/>
  <c r="I427" i="57" s="1"/>
  <c r="J427" i="57" a="1"/>
  <c r="J427" i="57" s="1"/>
  <c r="K427" i="57" a="1"/>
  <c r="K427" i="57" s="1"/>
  <c r="F20" i="29"/>
  <c r="H20" i="29" s="1"/>
  <c r="H428" i="57" s="1" a="1"/>
  <c r="H428" i="57" s="1"/>
  <c r="I20" i="29"/>
  <c r="I428" i="57" s="1" a="1"/>
  <c r="I428" i="57" s="1"/>
  <c r="J428" i="57" a="1"/>
  <c r="J428" i="57" s="1"/>
  <c r="K428" i="57" a="1"/>
  <c r="K428" i="57" s="1"/>
  <c r="F21" i="29"/>
  <c r="H21" i="29" s="1"/>
  <c r="H429" i="57" s="1" a="1"/>
  <c r="H429" i="57" s="1"/>
  <c r="I21" i="29"/>
  <c r="I429" i="57" s="1" a="1"/>
  <c r="I429" i="57" s="1"/>
  <c r="J429" i="57" a="1"/>
  <c r="J429" i="57" s="1"/>
  <c r="K429" i="57" a="1"/>
  <c r="K429" i="57" s="1"/>
  <c r="F22" i="29"/>
  <c r="H22" i="29" s="1"/>
  <c r="H430" i="57" s="1" a="1"/>
  <c r="H430" i="57" s="1"/>
  <c r="I22" i="29"/>
  <c r="I430" i="57" s="1" a="1"/>
  <c r="I430" i="57" s="1"/>
  <c r="J430" i="57" a="1"/>
  <c r="J430" i="57" s="1"/>
  <c r="K430" i="57" a="1"/>
  <c r="K430" i="57" s="1"/>
  <c r="F23" i="29"/>
  <c r="H23" i="29" s="1"/>
  <c r="H431" i="57" s="1" a="1"/>
  <c r="H431" i="57" s="1"/>
  <c r="I23" i="29"/>
  <c r="I431" i="57" s="1" a="1"/>
  <c r="I431" i="57" s="1"/>
  <c r="J431" i="57" a="1"/>
  <c r="J431" i="57" s="1"/>
  <c r="K431" i="57" a="1"/>
  <c r="K431" i="57" s="1"/>
  <c r="F24" i="29"/>
  <c r="H24" i="29" s="1"/>
  <c r="H432" i="57" s="1" a="1"/>
  <c r="H432" i="57" s="1"/>
  <c r="I24" i="29"/>
  <c r="I432" i="57" s="1" a="1"/>
  <c r="I432" i="57" s="1"/>
  <c r="J432" i="57" a="1"/>
  <c r="J432" i="57" s="1"/>
  <c r="K432" i="57" a="1"/>
  <c r="K432" i="57" s="1"/>
  <c r="F25" i="29"/>
  <c r="H25" i="29" s="1"/>
  <c r="H433" i="57" s="1" a="1"/>
  <c r="H433" i="57" s="1"/>
  <c r="I25" i="29"/>
  <c r="I433" i="57" s="1" a="1"/>
  <c r="I433" i="57" s="1"/>
  <c r="J433" i="57" a="1"/>
  <c r="J433" i="57" s="1"/>
  <c r="K433" i="57" a="1"/>
  <c r="K433" i="57" s="1"/>
  <c r="H26" i="29"/>
  <c r="H434" i="57" s="1" a="1"/>
  <c r="H434" i="57" s="1"/>
  <c r="I26" i="29"/>
  <c r="I434" i="57" s="1" a="1"/>
  <c r="I434" i="57" s="1"/>
  <c r="J434" i="57" a="1"/>
  <c r="J434" i="57" s="1"/>
  <c r="K434" i="57" a="1"/>
  <c r="K434" i="57" s="1"/>
  <c r="F27" i="29"/>
  <c r="H27" i="29" s="1"/>
  <c r="H435" i="57" s="1" a="1"/>
  <c r="H435" i="57" s="1"/>
  <c r="I27" i="29"/>
  <c r="I435" i="57" s="1" a="1"/>
  <c r="I435" i="57" s="1"/>
  <c r="J435" i="57" a="1"/>
  <c r="J435" i="57" s="1"/>
  <c r="K435" i="57" a="1"/>
  <c r="K435" i="57" s="1"/>
  <c r="F28" i="29"/>
  <c r="H28" i="29" s="1"/>
  <c r="H436" i="57" s="1" a="1"/>
  <c r="H436" i="57" s="1"/>
  <c r="I28" i="29"/>
  <c r="I436" i="57" s="1" a="1"/>
  <c r="I436" i="57" s="1"/>
  <c r="J436" i="57" a="1"/>
  <c r="J436" i="57" s="1"/>
  <c r="K436" i="57" a="1"/>
  <c r="K436" i="57" s="1"/>
  <c r="F29" i="29"/>
  <c r="H29" i="29" s="1"/>
  <c r="H437" i="57" s="1" a="1"/>
  <c r="H437" i="57" s="1"/>
  <c r="I29" i="29"/>
  <c r="I437" i="57" s="1" a="1"/>
  <c r="I437" i="57" s="1"/>
  <c r="J437" i="57" a="1"/>
  <c r="J437" i="57" s="1"/>
  <c r="K437" i="57" a="1"/>
  <c r="K437" i="57" s="1"/>
  <c r="F30" i="29"/>
  <c r="H30" i="29" s="1"/>
  <c r="H438" i="57" s="1" a="1"/>
  <c r="H438" i="57" s="1"/>
  <c r="I30" i="29"/>
  <c r="I438" i="57" s="1" a="1"/>
  <c r="I438" i="57" s="1"/>
  <c r="J438" i="57" a="1"/>
  <c r="J438" i="57" s="1"/>
  <c r="K438" i="57" a="1"/>
  <c r="K438" i="57" s="1"/>
  <c r="F31" i="29"/>
  <c r="H31" i="29" s="1"/>
  <c r="H439" i="57" s="1" a="1"/>
  <c r="H439" i="57" s="1"/>
  <c r="I31" i="29"/>
  <c r="I439" i="57" s="1" a="1"/>
  <c r="I439" i="57" s="1"/>
  <c r="J439" i="57" a="1"/>
  <c r="J439" i="57" s="1"/>
  <c r="K439" i="57" a="1"/>
  <c r="K439" i="57" s="1"/>
  <c r="F32" i="29"/>
  <c r="H32" i="29" s="1"/>
  <c r="H440" i="57" s="1" a="1"/>
  <c r="H440" i="57" s="1"/>
  <c r="I32" i="29"/>
  <c r="I440" i="57" s="1" a="1"/>
  <c r="I440" i="57" s="1"/>
  <c r="J440" i="57" a="1"/>
  <c r="J440" i="57" s="1"/>
  <c r="K440" i="57" a="1"/>
  <c r="K440" i="57" s="1"/>
  <c r="F33" i="29"/>
  <c r="H33" i="29" s="1"/>
  <c r="H441" i="57" s="1" a="1"/>
  <c r="H441" i="57" s="1"/>
  <c r="I33" i="29"/>
  <c r="I441" i="57" s="1" a="1"/>
  <c r="I441" i="57" s="1"/>
  <c r="J441" i="57" a="1"/>
  <c r="J441" i="57" s="1"/>
  <c r="K441" i="57" a="1"/>
  <c r="K441" i="57" s="1"/>
  <c r="F34" i="29"/>
  <c r="H34" i="29" s="1"/>
  <c r="H442" i="57" s="1" a="1"/>
  <c r="H442" i="57" s="1"/>
  <c r="I34" i="29"/>
  <c r="I442" i="57" s="1" a="1"/>
  <c r="I442" i="57" s="1"/>
  <c r="J442" i="57" a="1"/>
  <c r="J442" i="57" s="1"/>
  <c r="K442" i="57" a="1"/>
  <c r="K442" i="57" s="1"/>
  <c r="F35" i="29"/>
  <c r="H35" i="29" s="1"/>
  <c r="H443" i="57" s="1" a="1"/>
  <c r="H443" i="57" s="1"/>
  <c r="I35" i="29"/>
  <c r="I443" i="57" s="1" a="1"/>
  <c r="I443" i="57" s="1"/>
  <c r="J443" i="57" a="1"/>
  <c r="J443" i="57" s="1"/>
  <c r="K443" i="57" a="1"/>
  <c r="K443" i="57" s="1"/>
  <c r="F36" i="29"/>
  <c r="H36" i="29" s="1"/>
  <c r="H444" i="57" s="1" a="1"/>
  <c r="H444" i="57" s="1"/>
  <c r="I36" i="29"/>
  <c r="I444" i="57" s="1" a="1"/>
  <c r="I444" i="57" s="1"/>
  <c r="J444" i="57" a="1"/>
  <c r="J444" i="57" s="1"/>
  <c r="K444" i="57" a="1"/>
  <c r="K444" i="57" s="1"/>
  <c r="F37" i="29"/>
  <c r="H37" i="29" s="1"/>
  <c r="H445" i="57" s="1" a="1"/>
  <c r="H445" i="57" s="1"/>
  <c r="I37" i="29"/>
  <c r="I445" i="57" s="1" a="1"/>
  <c r="I445" i="57" s="1"/>
  <c r="J445" i="57" a="1"/>
  <c r="J445" i="57" s="1"/>
  <c r="K445" i="57" a="1"/>
  <c r="K445" i="57" s="1"/>
  <c r="F38" i="29"/>
  <c r="H38" i="29" s="1"/>
  <c r="H446" i="57" s="1" a="1"/>
  <c r="H446" i="57" s="1"/>
  <c r="I38" i="29"/>
  <c r="I446" i="57" s="1" a="1"/>
  <c r="I446" i="57" s="1"/>
  <c r="J446" i="57" a="1"/>
  <c r="J446" i="57" s="1"/>
  <c r="K446" i="57" a="1"/>
  <c r="K446" i="57" s="1"/>
  <c r="F39" i="29"/>
  <c r="H39" i="29" s="1"/>
  <c r="H447" i="57" s="1" a="1"/>
  <c r="H447" i="57" s="1"/>
  <c r="I39" i="29"/>
  <c r="I447" i="57" s="1" a="1"/>
  <c r="I447" i="57" s="1"/>
  <c r="J447" i="57" a="1"/>
  <c r="J447" i="57" s="1"/>
  <c r="K447" i="57" a="1"/>
  <c r="K447" i="57" s="1"/>
  <c r="H40" i="29"/>
  <c r="H448" i="57" s="1" a="1"/>
  <c r="H448" i="57" s="1"/>
  <c r="I40" i="29"/>
  <c r="I448" i="57" s="1" a="1"/>
  <c r="I448" i="57" s="1"/>
  <c r="J448" i="57" a="1"/>
  <c r="J448" i="57" s="1"/>
  <c r="K448" i="57" a="1"/>
  <c r="K448" i="57" s="1"/>
  <c r="H41" i="29"/>
  <c r="H449" i="57" s="1" a="1"/>
  <c r="H449" i="57" s="1"/>
  <c r="I41" i="29"/>
  <c r="I449" i="57" s="1" a="1"/>
  <c r="I449" i="57" s="1"/>
  <c r="J449" i="57" a="1"/>
  <c r="J449" i="57" s="1"/>
  <c r="K449" i="57" a="1"/>
  <c r="K449" i="57" s="1"/>
  <c r="H42" i="29"/>
  <c r="H450" i="57" s="1" a="1"/>
  <c r="H450" i="57" s="1"/>
  <c r="I42" i="29"/>
  <c r="I450" i="57" s="1" a="1"/>
  <c r="I450" i="57" s="1"/>
  <c r="J450" i="57" a="1"/>
  <c r="J450" i="57" s="1"/>
  <c r="K450" i="57" a="1"/>
  <c r="K450" i="57" s="1"/>
  <c r="F43" i="29"/>
  <c r="H43" i="29" s="1"/>
  <c r="H451" i="57" s="1" a="1"/>
  <c r="H451" i="57" s="1"/>
  <c r="I43" i="29"/>
  <c r="I451" i="57" s="1" a="1"/>
  <c r="I451" i="57" s="1"/>
  <c r="J451" i="57" a="1"/>
  <c r="J451" i="57" s="1"/>
  <c r="K451" i="57" a="1"/>
  <c r="K451" i="57" s="1"/>
  <c r="H44" i="29"/>
  <c r="H452" i="57" s="1" a="1"/>
  <c r="H452" i="57" s="1"/>
  <c r="I44" i="29"/>
  <c r="I452" i="57" s="1" a="1"/>
  <c r="I452" i="57" s="1"/>
  <c r="J452" i="57" a="1"/>
  <c r="J452" i="57" s="1"/>
  <c r="K452" i="57" a="1"/>
  <c r="K452" i="57" s="1"/>
  <c r="F45" i="29"/>
  <c r="H45" i="29" s="1"/>
  <c r="H453" i="57" s="1" a="1"/>
  <c r="H453" i="57" s="1"/>
  <c r="I45" i="29"/>
  <c r="I453" i="57" s="1" a="1"/>
  <c r="I453" i="57" s="1"/>
  <c r="J453" i="57" a="1"/>
  <c r="J453" i="57" s="1"/>
  <c r="K453" i="57" a="1"/>
  <c r="K453" i="57" s="1"/>
  <c r="F46" i="29"/>
  <c r="H46" i="29" s="1"/>
  <c r="H454" i="57" s="1" a="1"/>
  <c r="H454" i="57" s="1"/>
  <c r="I46" i="29"/>
  <c r="I454" i="57" s="1" a="1"/>
  <c r="I454" i="57" s="1"/>
  <c r="J454" i="57" a="1"/>
  <c r="J454" i="57" s="1"/>
  <c r="K454" i="57" a="1"/>
  <c r="K454" i="57" s="1"/>
  <c r="F47" i="29"/>
  <c r="H47" i="29" s="1"/>
  <c r="H455" i="57" s="1" a="1"/>
  <c r="H455" i="57" s="1"/>
  <c r="I47" i="29"/>
  <c r="I455" i="57" s="1" a="1"/>
  <c r="I455" i="57" s="1"/>
  <c r="J455" i="57" a="1"/>
  <c r="J455" i="57" s="1"/>
  <c r="K455" i="57" a="1"/>
  <c r="K455" i="57" s="1"/>
  <c r="F48" i="29"/>
  <c r="H48" i="29" s="1"/>
  <c r="H456" i="57" s="1" a="1"/>
  <c r="H456" i="57" s="1"/>
  <c r="I48" i="29"/>
  <c r="I456" i="57" s="1" a="1"/>
  <c r="I456" i="57" s="1"/>
  <c r="J456" i="57" a="1"/>
  <c r="J456" i="57" s="1"/>
  <c r="K456" i="57" a="1"/>
  <c r="K456" i="57" s="1"/>
  <c r="F49" i="29"/>
  <c r="H49" i="29" s="1"/>
  <c r="H457" i="57" s="1" a="1"/>
  <c r="H457" i="57" s="1"/>
  <c r="I49" i="29"/>
  <c r="I457" i="57" s="1" a="1"/>
  <c r="I457" i="57" s="1"/>
  <c r="J457" i="57" a="1"/>
  <c r="J457" i="57" s="1"/>
  <c r="K457" i="57" a="1"/>
  <c r="K457" i="57" s="1"/>
  <c r="F50" i="29"/>
  <c r="H50" i="29" s="1"/>
  <c r="H458" i="57" s="1" a="1"/>
  <c r="H458" i="57" s="1"/>
  <c r="I50" i="29"/>
  <c r="I458" i="57" s="1" a="1"/>
  <c r="I458" i="57" s="1"/>
  <c r="J458" i="57" a="1"/>
  <c r="J458" i="57" s="1"/>
  <c r="K458" i="57" a="1"/>
  <c r="K458" i="57" s="1"/>
  <c r="F51" i="29"/>
  <c r="H51" i="29" s="1"/>
  <c r="H459" i="57" s="1" a="1"/>
  <c r="H459" i="57" s="1"/>
  <c r="I51" i="29"/>
  <c r="I459" i="57" s="1" a="1"/>
  <c r="I459" i="57" s="1"/>
  <c r="J459" i="57" a="1"/>
  <c r="J459" i="57" s="1"/>
  <c r="K459" i="57" a="1"/>
  <c r="K459" i="57" s="1"/>
  <c r="I52" i="29"/>
  <c r="I460" i="57" s="1" a="1"/>
  <c r="I460" i="57" s="1"/>
  <c r="J460" i="57" a="1"/>
  <c r="J460" i="57" s="1"/>
  <c r="K460" i="57" a="1"/>
  <c r="K460" i="57" s="1"/>
  <c r="K415" i="57" a="1"/>
  <c r="K415" i="57" s="1"/>
  <c r="J415" i="57" a="1"/>
  <c r="J415" i="57" s="1"/>
  <c r="I7" i="29"/>
  <c r="I415" i="57" s="1" a="1"/>
  <c r="I415" i="57" s="1"/>
  <c r="F7" i="29"/>
  <c r="H7" i="29" s="1"/>
  <c r="H415" i="57" s="1" a="1"/>
  <c r="H415" i="57" s="1"/>
  <c r="H24" i="7"/>
  <c r="M24" i="7"/>
  <c r="O24" i="7" s="1"/>
  <c r="K24" i="7"/>
  <c r="I24" i="7"/>
  <c r="J24" i="7"/>
  <c r="S24" i="7"/>
  <c r="AA24" i="7" s="1"/>
  <c r="H17" i="7"/>
  <c r="M17" i="7"/>
  <c r="O17" i="7" s="1"/>
  <c r="K17" i="7"/>
  <c r="I17" i="7"/>
  <c r="J17" i="7"/>
  <c r="S17" i="7"/>
  <c r="I407" i="57" a="1"/>
  <c r="I407" i="57" s="1"/>
  <c r="J407" i="57" a="1"/>
  <c r="J407" i="57" s="1"/>
  <c r="K407" i="57" a="1"/>
  <c r="K407" i="57" s="1"/>
  <c r="L407" i="57" a="1"/>
  <c r="L407" i="57" s="1"/>
  <c r="H18" i="7"/>
  <c r="M18" i="7"/>
  <c r="O18" i="7" s="1"/>
  <c r="K18" i="7"/>
  <c r="I18" i="7"/>
  <c r="J18" i="7"/>
  <c r="S18" i="7"/>
  <c r="W18" i="7" s="1"/>
  <c r="J408" i="57" a="1"/>
  <c r="J408" i="57" s="1"/>
  <c r="K408" i="57" a="1"/>
  <c r="K408" i="57" s="1"/>
  <c r="L408" i="57" a="1"/>
  <c r="L408" i="57" s="1"/>
  <c r="H19" i="7"/>
  <c r="M19" i="7"/>
  <c r="O19" i="7" s="1"/>
  <c r="K19" i="7"/>
  <c r="I19" i="7"/>
  <c r="J19" i="7"/>
  <c r="S19" i="7"/>
  <c r="AA19" i="7" s="1"/>
  <c r="I409" i="57" a="1"/>
  <c r="I409" i="57" s="1"/>
  <c r="J409" i="57" a="1"/>
  <c r="J409" i="57" s="1"/>
  <c r="K409" i="57" a="1"/>
  <c r="K409" i="57" s="1"/>
  <c r="L409" i="57" a="1"/>
  <c r="L409" i="57" s="1"/>
  <c r="H20" i="7"/>
  <c r="M20" i="7"/>
  <c r="O20" i="7" s="1"/>
  <c r="R20" i="7" s="1"/>
  <c r="I20" i="7"/>
  <c r="J20" i="7"/>
  <c r="N20" i="7"/>
  <c r="S20" i="7" s="1"/>
  <c r="W20" i="7" s="1"/>
  <c r="J410" i="57" a="1"/>
  <c r="J410" i="57" s="1"/>
  <c r="K410" i="57" a="1"/>
  <c r="K410" i="57" s="1"/>
  <c r="L410" i="57" a="1"/>
  <c r="L410" i="57" s="1"/>
  <c r="H21" i="7"/>
  <c r="M21" i="7"/>
  <c r="O21" i="7" s="1"/>
  <c r="K21" i="7"/>
  <c r="I21" i="7"/>
  <c r="J21" i="7"/>
  <c r="S21" i="7"/>
  <c r="AA21" i="7" s="1"/>
  <c r="J411" i="57" a="1"/>
  <c r="J411" i="57" s="1"/>
  <c r="K411" i="57" a="1"/>
  <c r="K411" i="57" s="1"/>
  <c r="L411" i="57" a="1"/>
  <c r="L411" i="57" s="1"/>
  <c r="H22" i="7"/>
  <c r="M22" i="7"/>
  <c r="O22" i="7" s="1"/>
  <c r="K22" i="7"/>
  <c r="I22" i="7"/>
  <c r="J22" i="7"/>
  <c r="S22" i="7"/>
  <c r="AA22" i="7" s="1"/>
  <c r="J412" i="57" a="1"/>
  <c r="J412" i="57" s="1"/>
  <c r="K412" i="57" a="1"/>
  <c r="K412" i="57" s="1"/>
  <c r="L412" i="57" a="1"/>
  <c r="L412" i="57" s="1"/>
  <c r="H23" i="7"/>
  <c r="M23" i="7"/>
  <c r="O23" i="7" s="1"/>
  <c r="K23" i="7"/>
  <c r="I23" i="7"/>
  <c r="J23" i="7"/>
  <c r="S23" i="7"/>
  <c r="AA23" i="7" s="1"/>
  <c r="J413" i="57" a="1"/>
  <c r="J413" i="57" s="1"/>
  <c r="K413" i="57" a="1"/>
  <c r="K413" i="57" s="1"/>
  <c r="L413" i="57" a="1"/>
  <c r="L413" i="57" s="1"/>
  <c r="J414" i="57" a="1"/>
  <c r="J414" i="57" s="1"/>
  <c r="K414" i="57" a="1"/>
  <c r="K414" i="57" s="1"/>
  <c r="L414" i="57" a="1"/>
  <c r="L414" i="57" s="1"/>
  <c r="L406" i="57" a="1"/>
  <c r="L406" i="57" s="1"/>
  <c r="K406" i="57" a="1"/>
  <c r="K406" i="57" s="1"/>
  <c r="J406" i="57" a="1"/>
  <c r="J406" i="57" s="1"/>
  <c r="S16" i="7"/>
  <c r="AA16" i="7" s="1"/>
  <c r="H16" i="7"/>
  <c r="M16" i="7"/>
  <c r="O16" i="7" s="1"/>
  <c r="K16" i="7"/>
  <c r="I16" i="7"/>
  <c r="J16" i="7"/>
  <c r="G45" i="22"/>
  <c r="H131" i="57" s="1" a="1"/>
  <c r="H131" i="57" s="1"/>
  <c r="E11" i="10"/>
  <c r="E13" i="46" a="1"/>
  <c r="E13" i="46" s="1"/>
  <c r="H278" i="57" s="1" a="1"/>
  <c r="H278" i="57" s="1"/>
  <c r="I278" i="57" a="1"/>
  <c r="I278" i="57" s="1"/>
  <c r="J278" i="57" a="1"/>
  <c r="J278" i="57" s="1"/>
  <c r="E12" i="10"/>
  <c r="E14" i="46" s="1" a="1"/>
  <c r="E14" i="46" s="1"/>
  <c r="H279" i="57" s="1" a="1"/>
  <c r="H279" i="57" s="1"/>
  <c r="J279" i="57" a="1"/>
  <c r="J279" i="57" s="1"/>
  <c r="E15" i="46" a="1"/>
  <c r="E15" i="46" s="1"/>
  <c r="H280" i="57" s="1" a="1"/>
  <c r="H280" i="57" s="1"/>
  <c r="J280" i="57" a="1"/>
  <c r="J280" i="57" s="1"/>
  <c r="E14" i="10"/>
  <c r="E16" i="46" a="1"/>
  <c r="E16" i="46" s="1"/>
  <c r="H281" i="57" s="1" a="1"/>
  <c r="H281" i="57" s="1"/>
  <c r="J281" i="57" a="1"/>
  <c r="J281" i="57" s="1"/>
  <c r="E15" i="10"/>
  <c r="E17" i="46" a="1"/>
  <c r="E17" i="46" s="1"/>
  <c r="H282" i="57" s="1" a="1"/>
  <c r="H282" i="57" s="1"/>
  <c r="J282" i="57" a="1"/>
  <c r="J282" i="57" s="1"/>
  <c r="E18" i="46" a="1"/>
  <c r="E18" i="46" s="1"/>
  <c r="H283" i="57" s="1" a="1"/>
  <c r="H283" i="57" s="1"/>
  <c r="J283" i="57" a="1"/>
  <c r="J283" i="57" s="1"/>
  <c r="E17" i="10"/>
  <c r="E19" i="46" s="1" a="1"/>
  <c r="E19" i="46" s="1"/>
  <c r="H284" i="57" s="1" a="1"/>
  <c r="H284" i="57" s="1"/>
  <c r="J284" i="57" a="1"/>
  <c r="J284" i="57" s="1"/>
  <c r="E18" i="10"/>
  <c r="E20" i="46" a="1"/>
  <c r="E20" i="46" s="1"/>
  <c r="H285" i="57" s="1" a="1"/>
  <c r="H285" i="57" s="1"/>
  <c r="I285" i="57" a="1"/>
  <c r="I285" i="57" s="1"/>
  <c r="J285" i="57" a="1"/>
  <c r="J285" i="57" s="1"/>
  <c r="E21" i="46" a="1"/>
  <c r="E21" i="46" s="1"/>
  <c r="H286" i="57" s="1" a="1"/>
  <c r="H286" i="57" s="1"/>
  <c r="J286" i="57" a="1"/>
  <c r="J286" i="57" s="1"/>
  <c r="E20" i="10"/>
  <c r="E22" i="46" s="1" a="1"/>
  <c r="E22" i="46" s="1"/>
  <c r="H287" i="57" s="1" a="1"/>
  <c r="H287" i="57" s="1"/>
  <c r="I287" i="57" a="1"/>
  <c r="I287" i="57" s="1"/>
  <c r="J287" i="57" a="1"/>
  <c r="J287" i="57" s="1"/>
  <c r="E21" i="10"/>
  <c r="E23" i="46" a="1"/>
  <c r="E23" i="46" s="1"/>
  <c r="H288" i="57" s="1" a="1"/>
  <c r="H288" i="57" s="1"/>
  <c r="J288" i="57" a="1"/>
  <c r="J288" i="57" s="1"/>
  <c r="E24" i="46" a="1"/>
  <c r="E24" i="46" s="1"/>
  <c r="H289" i="57" s="1" a="1"/>
  <c r="H289" i="57" s="1"/>
  <c r="J289" i="57" a="1"/>
  <c r="J289" i="57" s="1"/>
  <c r="E23" i="10"/>
  <c r="E25" i="46" s="1" a="1"/>
  <c r="E25" i="46" s="1"/>
  <c r="H290" i="57" s="1" a="1"/>
  <c r="H290" i="57" s="1"/>
  <c r="I290" i="57" a="1"/>
  <c r="I290" i="57" s="1"/>
  <c r="J290" i="57" a="1"/>
  <c r="J290" i="57" s="1"/>
  <c r="E24" i="10"/>
  <c r="E26" i="46" s="1" a="1"/>
  <c r="E26" i="46" s="1"/>
  <c r="H291" i="57" s="1" a="1"/>
  <c r="H291" i="57" s="1"/>
  <c r="J291" i="57" a="1"/>
  <c r="J291" i="57" s="1"/>
  <c r="E27" i="46" a="1"/>
  <c r="E27" i="46" s="1"/>
  <c r="H292" i="57" s="1" a="1"/>
  <c r="H292" i="57" s="1"/>
  <c r="J292" i="57" a="1"/>
  <c r="J292" i="57" s="1"/>
  <c r="E26" i="10"/>
  <c r="E28" i="46" s="1" a="1"/>
  <c r="E28" i="46" s="1"/>
  <c r="H293" i="57" s="1" a="1"/>
  <c r="H293" i="57" s="1"/>
  <c r="I293" i="57" a="1"/>
  <c r="I293" i="57" s="1"/>
  <c r="J293" i="57" a="1"/>
  <c r="J293" i="57" s="1"/>
  <c r="E27" i="10"/>
  <c r="E29" i="46" s="1" a="1"/>
  <c r="E29" i="46" s="1"/>
  <c r="H294" i="57" s="1" a="1"/>
  <c r="H294" i="57" s="1"/>
  <c r="I294" i="57" a="1"/>
  <c r="I294" i="57" s="1"/>
  <c r="J294" i="57" a="1"/>
  <c r="J294" i="57" s="1"/>
  <c r="E30" i="46" a="1"/>
  <c r="E30" i="46" s="1"/>
  <c r="H295" i="57" s="1" a="1"/>
  <c r="H295" i="57" s="1"/>
  <c r="I295" i="57" a="1"/>
  <c r="I295" i="57" s="1"/>
  <c r="J295" i="57" a="1"/>
  <c r="J295" i="57" s="1"/>
  <c r="E29" i="10"/>
  <c r="E31" i="46" s="1" a="1"/>
  <c r="E31" i="46" s="1"/>
  <c r="H296" i="57" s="1" a="1"/>
  <c r="H296" i="57" s="1"/>
  <c r="J296" i="57" a="1"/>
  <c r="J296" i="57" s="1"/>
  <c r="E30" i="10"/>
  <c r="E32" i="46" s="1" a="1"/>
  <c r="E32" i="46" s="1"/>
  <c r="H297" i="57" s="1" a="1"/>
  <c r="H297" i="57" s="1"/>
  <c r="I297" i="57" a="1"/>
  <c r="I297" i="57" s="1"/>
  <c r="J297" i="57" a="1"/>
  <c r="J297" i="57" s="1"/>
  <c r="E33" i="46" a="1"/>
  <c r="E33" i="46" s="1"/>
  <c r="H298" i="57" s="1" a="1"/>
  <c r="H298" i="57" s="1"/>
  <c r="J298" i="57" a="1"/>
  <c r="J298" i="57" s="1"/>
  <c r="E32" i="10"/>
  <c r="E34" i="46" s="1" a="1"/>
  <c r="E34" i="46" s="1"/>
  <c r="H299" i="57" s="1" a="1"/>
  <c r="H299" i="57" s="1"/>
  <c r="I299" i="57" a="1"/>
  <c r="I299" i="57" s="1"/>
  <c r="J299" i="57" a="1"/>
  <c r="J299" i="57" s="1"/>
  <c r="E33" i="10"/>
  <c r="E35" i="46" s="1" a="1"/>
  <c r="E35" i="46" s="1"/>
  <c r="H300" i="57" s="1" a="1"/>
  <c r="H300" i="57" s="1"/>
  <c r="J300" i="57" a="1"/>
  <c r="J300" i="57" s="1"/>
  <c r="E36" i="46" a="1"/>
  <c r="E36" i="46" s="1"/>
  <c r="H301" i="57" s="1" a="1"/>
  <c r="H301" i="57" s="1"/>
  <c r="I301" i="57" a="1"/>
  <c r="I301" i="57" s="1"/>
  <c r="J301" i="57" a="1"/>
  <c r="J301" i="57" s="1"/>
  <c r="E35" i="10"/>
  <c r="E37" i="46" s="1" a="1"/>
  <c r="E37" i="46" s="1"/>
  <c r="H302" i="57" s="1" a="1"/>
  <c r="H302" i="57" s="1"/>
  <c r="I302" i="57" a="1"/>
  <c r="I302" i="57" s="1"/>
  <c r="J302" i="57" a="1"/>
  <c r="J302" i="57" s="1"/>
  <c r="E36" i="10"/>
  <c r="H174" i="57" s="1" a="1"/>
  <c r="H174" i="57" s="1"/>
  <c r="I303" i="57" a="1"/>
  <c r="I303" i="57" s="1"/>
  <c r="J303" i="57" a="1"/>
  <c r="J303" i="57" s="1"/>
  <c r="E39" i="46" a="1"/>
  <c r="E39" i="46" s="1"/>
  <c r="H304" i="57" s="1" a="1"/>
  <c r="H304" i="57" s="1"/>
  <c r="I304" i="57" a="1"/>
  <c r="I304" i="57" s="1"/>
  <c r="J304" i="57" a="1"/>
  <c r="J304" i="57" s="1"/>
  <c r="E38" i="10"/>
  <c r="E40" i="46" s="1" a="1"/>
  <c r="E40" i="46" s="1"/>
  <c r="H305" i="57" s="1" a="1"/>
  <c r="H305" i="57" s="1"/>
  <c r="I305" i="57" a="1"/>
  <c r="I305" i="57" s="1"/>
  <c r="J305" i="57" a="1"/>
  <c r="J305" i="57" s="1"/>
  <c r="E39" i="10"/>
  <c r="E41" i="46" s="1" a="1"/>
  <c r="E41" i="46" s="1"/>
  <c r="H306" i="57" s="1" a="1"/>
  <c r="H306" i="57" s="1"/>
  <c r="I306" i="57" a="1"/>
  <c r="I306" i="57" s="1"/>
  <c r="J306" i="57" a="1"/>
  <c r="J306" i="57" s="1"/>
  <c r="E42" i="46" a="1"/>
  <c r="E42" i="46" s="1"/>
  <c r="H307" i="57" s="1" a="1"/>
  <c r="H307" i="57" s="1"/>
  <c r="I307" i="57" a="1"/>
  <c r="I307" i="57" s="1"/>
  <c r="J307" i="57" a="1"/>
  <c r="J307" i="57" s="1"/>
  <c r="E41" i="10"/>
  <c r="E43" i="46" s="1" a="1"/>
  <c r="E43" i="46" s="1"/>
  <c r="H308" i="57" s="1" a="1"/>
  <c r="H308" i="57" s="1"/>
  <c r="J308" i="57" a="1"/>
  <c r="J308" i="57" s="1"/>
  <c r="E42" i="10"/>
  <c r="E44" i="46" s="1" a="1"/>
  <c r="E44" i="46" s="1"/>
  <c r="H309" i="57" s="1" a="1"/>
  <c r="H309" i="57" s="1"/>
  <c r="I309" i="57" a="1"/>
  <c r="I309" i="57" s="1"/>
  <c r="J309" i="57" a="1"/>
  <c r="J309" i="57" s="1"/>
  <c r="E45" i="46" a="1"/>
  <c r="E45" i="46" s="1"/>
  <c r="H310" i="57" s="1" a="1"/>
  <c r="H310" i="57" s="1"/>
  <c r="I310" i="57" a="1"/>
  <c r="I310" i="57" s="1"/>
  <c r="J310" i="57" a="1"/>
  <c r="J310" i="57" s="1"/>
  <c r="E44" i="10"/>
  <c r="H182" i="57" s="1" a="1"/>
  <c r="H182" i="57" s="1"/>
  <c r="I311" i="57" a="1"/>
  <c r="I311" i="57" s="1"/>
  <c r="J311" i="57" a="1"/>
  <c r="J311" i="57" s="1"/>
  <c r="E45" i="10"/>
  <c r="E47" i="46" s="1" a="1"/>
  <c r="E47" i="46" s="1"/>
  <c r="H312" i="57" s="1" a="1"/>
  <c r="H312" i="57" s="1"/>
  <c r="I312" i="57" a="1"/>
  <c r="I312" i="57" s="1"/>
  <c r="J312" i="57" a="1"/>
  <c r="J312" i="57" s="1"/>
  <c r="E48" i="46" a="1"/>
  <c r="E48" i="46" s="1"/>
  <c r="H313" i="57" s="1" a="1"/>
  <c r="H313" i="57" s="1"/>
  <c r="J313" i="57" a="1"/>
  <c r="J313" i="57" s="1"/>
  <c r="E47" i="10"/>
  <c r="E49" i="46" s="1" a="1"/>
  <c r="E49" i="46" s="1"/>
  <c r="H314" i="57" s="1" a="1"/>
  <c r="H314" i="57" s="1"/>
  <c r="I314" i="57" a="1"/>
  <c r="I314" i="57" s="1"/>
  <c r="J314" i="57" a="1"/>
  <c r="J314" i="57" s="1"/>
  <c r="E48" i="10"/>
  <c r="E50" i="46" s="1" a="1"/>
  <c r="E50" i="46" s="1"/>
  <c r="H315" i="57" s="1" a="1"/>
  <c r="H315" i="57" s="1"/>
  <c r="I315" i="57" a="1"/>
  <c r="I315" i="57" s="1"/>
  <c r="J315" i="57" a="1"/>
  <c r="J315" i="57" s="1"/>
  <c r="E51" i="46" a="1"/>
  <c r="E51" i="46" s="1"/>
  <c r="H316" i="57" s="1" a="1"/>
  <c r="H316" i="57" s="1"/>
  <c r="I316" i="57" a="1"/>
  <c r="I316" i="57" s="1"/>
  <c r="J316" i="57" a="1"/>
  <c r="J316" i="57" s="1"/>
  <c r="E50" i="10"/>
  <c r="E52" i="46" s="1" a="1"/>
  <c r="E52" i="46" s="1"/>
  <c r="H317" i="57" s="1" a="1"/>
  <c r="H317" i="57" s="1"/>
  <c r="I317" i="57" a="1"/>
  <c r="I317" i="57" s="1"/>
  <c r="J317" i="57" a="1"/>
  <c r="J317" i="57" s="1"/>
  <c r="E51" i="10"/>
  <c r="H189" i="57" s="1" a="1"/>
  <c r="H189" i="57" s="1"/>
  <c r="I318" i="57" a="1"/>
  <c r="I318" i="57" s="1"/>
  <c r="J318" i="57" a="1"/>
  <c r="J318" i="57" s="1"/>
  <c r="E54" i="46" a="1"/>
  <c r="E54" i="46" s="1"/>
  <c r="H319" i="57" s="1" a="1"/>
  <c r="H319" i="57" s="1"/>
  <c r="I319" i="57" a="1"/>
  <c r="I319" i="57" s="1"/>
  <c r="J319" i="57" a="1"/>
  <c r="J319" i="57" s="1"/>
  <c r="E53" i="10"/>
  <c r="I320" i="57" a="1"/>
  <c r="I320" i="57" s="1"/>
  <c r="J320" i="57" a="1"/>
  <c r="J320" i="57" s="1"/>
  <c r="E54" i="10"/>
  <c r="H192" i="57" s="1" a="1"/>
  <c r="H192" i="57" s="1"/>
  <c r="I321" i="57" a="1"/>
  <c r="I321" i="57" s="1"/>
  <c r="J321" i="57" a="1"/>
  <c r="J321" i="57" s="1"/>
  <c r="E57" i="46" a="1"/>
  <c r="E57" i="46" s="1"/>
  <c r="H322" i="57" s="1" a="1"/>
  <c r="H322" i="57" s="1"/>
  <c r="I322" i="57" a="1"/>
  <c r="I322" i="57" s="1"/>
  <c r="J322" i="57" a="1"/>
  <c r="J322" i="57" s="1"/>
  <c r="E56" i="10"/>
  <c r="E58" i="46" s="1" a="1"/>
  <c r="E58" i="46" s="1"/>
  <c r="H323" i="57" s="1" a="1"/>
  <c r="H323" i="57" s="1"/>
  <c r="I323" i="57" a="1"/>
  <c r="I323" i="57" s="1"/>
  <c r="J323" i="57" a="1"/>
  <c r="J323" i="57" s="1"/>
  <c r="E57" i="10"/>
  <c r="E59" i="46" s="1" a="1"/>
  <c r="E59" i="46" s="1"/>
  <c r="H324" i="57" s="1" a="1"/>
  <c r="H324" i="57" s="1"/>
  <c r="I324" i="57" a="1"/>
  <c r="I324" i="57" s="1"/>
  <c r="J324" i="57" a="1"/>
  <c r="J324" i="57" s="1"/>
  <c r="E60" i="46" a="1"/>
  <c r="E60" i="46" s="1"/>
  <c r="H325" i="57" s="1" a="1"/>
  <c r="H325" i="57" s="1"/>
  <c r="I325" i="57" a="1"/>
  <c r="I325" i="57" s="1"/>
  <c r="J325" i="57" a="1"/>
  <c r="J325" i="57" s="1"/>
  <c r="E59" i="10"/>
  <c r="E61" i="46" s="1" a="1"/>
  <c r="E61" i="46" s="1"/>
  <c r="H326" i="57" s="1" a="1"/>
  <c r="H326" i="57" s="1"/>
  <c r="I326" i="57" a="1"/>
  <c r="I326" i="57" s="1"/>
  <c r="J326" i="57" a="1"/>
  <c r="J326" i="57" s="1"/>
  <c r="E60" i="10"/>
  <c r="E62" i="46" s="1" a="1"/>
  <c r="E62" i="46" s="1"/>
  <c r="H327" i="57" s="1" a="1"/>
  <c r="H327" i="57" s="1"/>
  <c r="I327" i="57" a="1"/>
  <c r="I327" i="57" s="1"/>
  <c r="J327" i="57" a="1"/>
  <c r="J327" i="57" s="1"/>
  <c r="E63" i="46" a="1"/>
  <c r="E63" i="46" s="1"/>
  <c r="H328" i="57" s="1" a="1"/>
  <c r="H328" i="57" s="1"/>
  <c r="I328" i="57" a="1"/>
  <c r="I328" i="57" s="1"/>
  <c r="J328" i="57" a="1"/>
  <c r="J328" i="57" s="1"/>
  <c r="E62" i="10"/>
  <c r="I329" i="57" a="1"/>
  <c r="I329" i="57" s="1"/>
  <c r="J329" i="57" a="1"/>
  <c r="J329" i="57" s="1"/>
  <c r="E63" i="10"/>
  <c r="H201" i="57" s="1" a="1"/>
  <c r="H201" i="57" s="1"/>
  <c r="I330" i="57" a="1"/>
  <c r="I330" i="57" s="1"/>
  <c r="J330" i="57" a="1"/>
  <c r="J330" i="57" s="1"/>
  <c r="E66" i="46" a="1"/>
  <c r="E66" i="46" s="1"/>
  <c r="H331" i="57" s="1" a="1"/>
  <c r="H331" i="57" s="1"/>
  <c r="I331" i="57" a="1"/>
  <c r="I331" i="57" s="1"/>
  <c r="J331" i="57" a="1"/>
  <c r="J331" i="57" s="1"/>
  <c r="E65" i="10"/>
  <c r="H203" i="57" s="1" a="1"/>
  <c r="H203" i="57" s="1"/>
  <c r="I332" i="57" a="1"/>
  <c r="I332" i="57" s="1"/>
  <c r="J332" i="57" a="1"/>
  <c r="J332" i="57" s="1"/>
  <c r="E66" i="10"/>
  <c r="E68" i="46" s="1" a="1"/>
  <c r="E68" i="46" s="1"/>
  <c r="H333" i="57" s="1" a="1"/>
  <c r="H333" i="57" s="1"/>
  <c r="I333" i="57" a="1"/>
  <c r="I333" i="57" s="1"/>
  <c r="J333" i="57" a="1"/>
  <c r="J333" i="57" s="1"/>
  <c r="E69" i="46" a="1"/>
  <c r="E69" i="46" s="1"/>
  <c r="H334" i="57" s="1" a="1"/>
  <c r="H334" i="57" s="1"/>
  <c r="I334" i="57" a="1"/>
  <c r="I334" i="57" s="1"/>
  <c r="J334" i="57" a="1"/>
  <c r="J334" i="57" s="1"/>
  <c r="E68" i="10"/>
  <c r="E70" i="46" s="1" a="1"/>
  <c r="E70" i="46" s="1"/>
  <c r="H335" i="57" s="1" a="1"/>
  <c r="H335" i="57" s="1"/>
  <c r="I335" i="57" a="1"/>
  <c r="I335" i="57" s="1"/>
  <c r="J335" i="57" a="1"/>
  <c r="J335" i="57" s="1"/>
  <c r="E69" i="10"/>
  <c r="E71" i="46" s="1" a="1"/>
  <c r="E71" i="46" s="1"/>
  <c r="H336" i="57" s="1" a="1"/>
  <c r="H336" i="57" s="1"/>
  <c r="I336" i="57" a="1"/>
  <c r="I336" i="57" s="1"/>
  <c r="J336" i="57" a="1"/>
  <c r="J336" i="57" s="1"/>
  <c r="E72" i="46" a="1"/>
  <c r="E72" i="46" s="1"/>
  <c r="H337" i="57" s="1" a="1"/>
  <c r="H337" i="57" s="1"/>
  <c r="I337" i="57" a="1"/>
  <c r="I337" i="57" s="1"/>
  <c r="J337" i="57" a="1"/>
  <c r="J337" i="57" s="1"/>
  <c r="E71" i="10"/>
  <c r="E73" i="46" s="1" a="1"/>
  <c r="E73" i="46" s="1"/>
  <c r="H338" i="57" s="1" a="1"/>
  <c r="H338" i="57" s="1"/>
  <c r="I338" i="57" a="1"/>
  <c r="I338" i="57" s="1"/>
  <c r="J338" i="57" a="1"/>
  <c r="J338" i="57" s="1"/>
  <c r="E72" i="10"/>
  <c r="H210" i="57" s="1" a="1"/>
  <c r="H210" i="57" s="1"/>
  <c r="I339" i="57" a="1"/>
  <c r="I339" i="57" s="1"/>
  <c r="J339" i="57" a="1"/>
  <c r="J339" i="57" s="1"/>
  <c r="E75" i="46" a="1"/>
  <c r="E75" i="46" s="1"/>
  <c r="H340" i="57" s="1" a="1"/>
  <c r="H340" i="57" s="1"/>
  <c r="I340" i="57" a="1"/>
  <c r="I340" i="57" s="1"/>
  <c r="J340" i="57" a="1"/>
  <c r="J340" i="57" s="1"/>
  <c r="E74" i="10"/>
  <c r="E76" i="46" s="1" a="1"/>
  <c r="E76" i="46" s="1"/>
  <c r="H341" i="57" s="1" a="1"/>
  <c r="H341" i="57" s="1"/>
  <c r="I341" i="57" a="1"/>
  <c r="I341" i="57" s="1"/>
  <c r="J341" i="57" a="1"/>
  <c r="J341" i="57" s="1"/>
  <c r="E75" i="10"/>
  <c r="E77" i="46" s="1" a="1"/>
  <c r="E77" i="46" s="1"/>
  <c r="H342" i="57" s="1" a="1"/>
  <c r="H342" i="57" s="1"/>
  <c r="I342" i="57" a="1"/>
  <c r="I342" i="57" s="1"/>
  <c r="J342" i="57" a="1"/>
  <c r="J342" i="57" s="1"/>
  <c r="E78" i="46" a="1"/>
  <c r="E78" i="46" s="1"/>
  <c r="H343" i="57" s="1" a="1"/>
  <c r="H343" i="57" s="1"/>
  <c r="I343" i="57" a="1"/>
  <c r="I343" i="57" s="1"/>
  <c r="J343" i="57" a="1"/>
  <c r="J343" i="57" s="1"/>
  <c r="E79" i="46" a="1"/>
  <c r="E79" i="46" s="1"/>
  <c r="H344" i="57" s="1" a="1"/>
  <c r="H344" i="57" s="1"/>
  <c r="I344" i="57" a="1"/>
  <c r="I344" i="57" s="1"/>
  <c r="J344" i="57" a="1"/>
  <c r="J344" i="57" s="1"/>
  <c r="E80" i="46" a="1"/>
  <c r="E80" i="46" s="1"/>
  <c r="H345" i="57" s="1" a="1"/>
  <c r="H345" i="57" s="1"/>
  <c r="I345" i="57" a="1"/>
  <c r="I345" i="57" s="1"/>
  <c r="J345" i="57" a="1"/>
  <c r="J345" i="57" s="1"/>
  <c r="E81" i="46" a="1"/>
  <c r="E81" i="46" s="1"/>
  <c r="H346" i="57" s="1" a="1"/>
  <c r="H346" i="57" s="1"/>
  <c r="I346" i="57" a="1"/>
  <c r="I346" i="57" s="1"/>
  <c r="J346" i="57" a="1"/>
  <c r="J346" i="57" s="1"/>
  <c r="E80" i="10"/>
  <c r="E82" i="46" s="1" a="1"/>
  <c r="E82" i="46" s="1"/>
  <c r="H347" i="57" s="1" a="1"/>
  <c r="H347" i="57" s="1"/>
  <c r="I347" i="57" a="1"/>
  <c r="I347" i="57" s="1"/>
  <c r="J347" i="57" a="1"/>
  <c r="J347" i="57" s="1"/>
  <c r="E81" i="10"/>
  <c r="I348" i="57" a="1"/>
  <c r="I348" i="57" s="1"/>
  <c r="J348" i="57" a="1"/>
  <c r="J348" i="57" s="1"/>
  <c r="E84" i="46" a="1"/>
  <c r="E84" i="46" s="1"/>
  <c r="H349" i="57" s="1" a="1"/>
  <c r="H349" i="57" s="1"/>
  <c r="I349" i="57" a="1"/>
  <c r="I349" i="57" s="1"/>
  <c r="J349" i="57" a="1"/>
  <c r="J349" i="57" s="1"/>
  <c r="E83" i="10"/>
  <c r="E85" i="46" s="1" a="1"/>
  <c r="E85" i="46" s="1"/>
  <c r="H350" i="57" s="1" a="1"/>
  <c r="H350" i="57" s="1"/>
  <c r="I350" i="57" a="1"/>
  <c r="I350" i="57" s="1"/>
  <c r="J350" i="57" a="1"/>
  <c r="J350" i="57" s="1"/>
  <c r="E84" i="10"/>
  <c r="E86" i="46" s="1" a="1"/>
  <c r="E86" i="46" s="1"/>
  <c r="H351" i="57" s="1" a="1"/>
  <c r="H351" i="57" s="1"/>
  <c r="I351" i="57" a="1"/>
  <c r="I351" i="57" s="1"/>
  <c r="J351" i="57" a="1"/>
  <c r="J351" i="57" s="1"/>
  <c r="E87" i="46" a="1"/>
  <c r="E87" i="46" s="1"/>
  <c r="H352" i="57" s="1" a="1"/>
  <c r="H352" i="57" s="1"/>
  <c r="I352" i="57" a="1"/>
  <c r="I352" i="57" s="1"/>
  <c r="J352" i="57" a="1"/>
  <c r="J352" i="57" s="1"/>
  <c r="E86" i="10"/>
  <c r="H224" i="57" s="1" a="1"/>
  <c r="H224" i="57" s="1"/>
  <c r="I353" i="57" a="1"/>
  <c r="I353" i="57" s="1"/>
  <c r="J353" i="57" a="1"/>
  <c r="J353" i="57" s="1"/>
  <c r="E87" i="10"/>
  <c r="I354" i="57" a="1"/>
  <c r="I354" i="57" s="1"/>
  <c r="J354" i="57" a="1"/>
  <c r="J354" i="57" s="1"/>
  <c r="E90" i="46" a="1"/>
  <c r="E90" i="46" s="1"/>
  <c r="H355" i="57" s="1" a="1"/>
  <c r="H355" i="57" s="1"/>
  <c r="I355" i="57" a="1"/>
  <c r="I355" i="57" s="1"/>
  <c r="J355" i="57" a="1"/>
  <c r="J355" i="57" s="1"/>
  <c r="E89" i="10"/>
  <c r="E91" i="46" s="1" a="1"/>
  <c r="E91" i="46" s="1"/>
  <c r="H356" i="57" s="1" a="1"/>
  <c r="H356" i="57" s="1"/>
  <c r="I356" i="57" a="1"/>
  <c r="I356" i="57" s="1"/>
  <c r="J356" i="57" a="1"/>
  <c r="J356" i="57" s="1"/>
  <c r="E90" i="10"/>
  <c r="E92" i="46" s="1" a="1"/>
  <c r="E92" i="46" s="1"/>
  <c r="H357" i="57" s="1" a="1"/>
  <c r="H357" i="57" s="1"/>
  <c r="I357" i="57" a="1"/>
  <c r="I357" i="57" s="1"/>
  <c r="J357" i="57" a="1"/>
  <c r="J357" i="57" s="1"/>
  <c r="E93" i="46" a="1"/>
  <c r="E93" i="46" s="1"/>
  <c r="H358" i="57" s="1" a="1"/>
  <c r="H358" i="57" s="1"/>
  <c r="I358" i="57" a="1"/>
  <c r="I358" i="57" s="1"/>
  <c r="J358" i="57" a="1"/>
  <c r="J358" i="57" s="1"/>
  <c r="E92" i="10"/>
  <c r="H230" i="57" s="1" a="1"/>
  <c r="H230" i="57" s="1"/>
  <c r="I359" i="57" a="1"/>
  <c r="I359" i="57" s="1"/>
  <c r="J359" i="57" a="1"/>
  <c r="J359" i="57" s="1"/>
  <c r="E93" i="10"/>
  <c r="E95" i="46" s="1" a="1"/>
  <c r="E95" i="46" s="1"/>
  <c r="H360" i="57" s="1" a="1"/>
  <c r="H360" i="57" s="1"/>
  <c r="I360" i="57" a="1"/>
  <c r="I360" i="57" s="1"/>
  <c r="J360" i="57" a="1"/>
  <c r="J360" i="57" s="1"/>
  <c r="E96" i="46" a="1"/>
  <c r="E96" i="46" s="1"/>
  <c r="H361" i="57" s="1" a="1"/>
  <c r="H361" i="57" s="1"/>
  <c r="I361" i="57" a="1"/>
  <c r="I361" i="57" s="1"/>
  <c r="J361" i="57" a="1"/>
  <c r="J361" i="57" s="1"/>
  <c r="E95" i="10"/>
  <c r="H233" i="57" s="1" a="1"/>
  <c r="H233" i="57" s="1"/>
  <c r="I362" i="57" a="1"/>
  <c r="I362" i="57" s="1"/>
  <c r="J362" i="57" a="1"/>
  <c r="J362" i="57" s="1"/>
  <c r="E96" i="10"/>
  <c r="E98" i="46" s="1" a="1"/>
  <c r="E98" i="46" s="1"/>
  <c r="H363" i="57" s="1" a="1"/>
  <c r="H363" i="57" s="1"/>
  <c r="I363" i="57" a="1"/>
  <c r="I363" i="57" s="1"/>
  <c r="J363" i="57" a="1"/>
  <c r="J363" i="57" s="1"/>
  <c r="E99" i="46" a="1"/>
  <c r="E99" i="46" s="1"/>
  <c r="H364" i="57" s="1" a="1"/>
  <c r="H364" i="57" s="1"/>
  <c r="I364" i="57" a="1"/>
  <c r="I364" i="57" s="1"/>
  <c r="J364" i="57" a="1"/>
  <c r="J364" i="57" s="1"/>
  <c r="E98" i="10"/>
  <c r="E100" i="46" s="1" a="1"/>
  <c r="E100" i="46" s="1"/>
  <c r="H365" i="57" s="1" a="1"/>
  <c r="H365" i="57" s="1"/>
  <c r="I365" i="57" a="1"/>
  <c r="I365" i="57" s="1"/>
  <c r="J365" i="57" a="1"/>
  <c r="J365" i="57" s="1"/>
  <c r="E99" i="10"/>
  <c r="E101" i="46" s="1" a="1"/>
  <c r="E101" i="46" s="1"/>
  <c r="H366" i="57" s="1" a="1"/>
  <c r="H366" i="57" s="1"/>
  <c r="I366" i="57" a="1"/>
  <c r="I366" i="57" s="1"/>
  <c r="J366" i="57" a="1"/>
  <c r="J366" i="57" s="1"/>
  <c r="E102" i="46" a="1"/>
  <c r="E102" i="46" s="1"/>
  <c r="H367" i="57" s="1" a="1"/>
  <c r="H367" i="57" s="1"/>
  <c r="I367" i="57" a="1"/>
  <c r="I367" i="57" s="1"/>
  <c r="J367" i="57" a="1"/>
  <c r="J367" i="57" s="1"/>
  <c r="E101" i="10"/>
  <c r="E103" i="46" s="1" a="1"/>
  <c r="E103" i="46" s="1"/>
  <c r="H368" i="57" s="1" a="1"/>
  <c r="H368" i="57" s="1"/>
  <c r="I368" i="57" a="1"/>
  <c r="I368" i="57" s="1"/>
  <c r="J368" i="57" a="1"/>
  <c r="J368" i="57" s="1"/>
  <c r="E102" i="10"/>
  <c r="H240" i="57" s="1" a="1"/>
  <c r="H240" i="57" s="1"/>
  <c r="I369" i="57" a="1"/>
  <c r="I369" i="57" s="1"/>
  <c r="J369" i="57" a="1"/>
  <c r="J369" i="57" s="1"/>
  <c r="E105" i="46" a="1"/>
  <c r="E105" i="46" s="1"/>
  <c r="H370" i="57" s="1" a="1"/>
  <c r="H370" i="57" s="1"/>
  <c r="I370" i="57" a="1"/>
  <c r="I370" i="57" s="1"/>
  <c r="J370" i="57" a="1"/>
  <c r="J370" i="57" s="1"/>
  <c r="E104" i="10"/>
  <c r="E106" i="46" s="1" a="1"/>
  <c r="E106" i="46" s="1"/>
  <c r="H371" i="57" s="1" a="1"/>
  <c r="H371" i="57" s="1"/>
  <c r="I371" i="57" a="1"/>
  <c r="I371" i="57" s="1"/>
  <c r="J371" i="57" a="1"/>
  <c r="J371" i="57" s="1"/>
  <c r="E105" i="10"/>
  <c r="I372" i="57" a="1"/>
  <c r="I372" i="57" s="1"/>
  <c r="J372" i="57" a="1"/>
  <c r="J372" i="57" s="1"/>
  <c r="E108" i="46" a="1"/>
  <c r="E108" i="46" s="1"/>
  <c r="H373" i="57" s="1" a="1"/>
  <c r="H373" i="57" s="1"/>
  <c r="I373" i="57" a="1"/>
  <c r="I373" i="57" s="1"/>
  <c r="J373" i="57" a="1"/>
  <c r="J373" i="57" s="1"/>
  <c r="E109" i="46" a="1"/>
  <c r="E109" i="46" s="1"/>
  <c r="H374" i="57" s="1" a="1"/>
  <c r="H374" i="57" s="1"/>
  <c r="I374" i="57" a="1"/>
  <c r="I374" i="57" s="1"/>
  <c r="J374" i="57" a="1"/>
  <c r="J374" i="57" s="1"/>
  <c r="E110" i="46" a="1"/>
  <c r="E110" i="46" s="1"/>
  <c r="H375" i="57" s="1" a="1"/>
  <c r="H375" i="57" s="1"/>
  <c r="I375" i="57" a="1"/>
  <c r="I375" i="57" s="1"/>
  <c r="J375" i="57" a="1"/>
  <c r="J375" i="57" s="1"/>
  <c r="E111" i="46" a="1"/>
  <c r="E111" i="46" s="1"/>
  <c r="H376" i="57" s="1" a="1"/>
  <c r="H376" i="57" s="1"/>
  <c r="I376" i="57" a="1"/>
  <c r="I376" i="57" s="1"/>
  <c r="J376" i="57" a="1"/>
  <c r="J376" i="57" s="1"/>
  <c r="E110" i="10"/>
  <c r="I377" i="57" a="1"/>
  <c r="I377" i="57" s="1"/>
  <c r="J377" i="57" a="1"/>
  <c r="J377" i="57" s="1"/>
  <c r="E111" i="10"/>
  <c r="I378" i="57" a="1"/>
  <c r="I378" i="57" s="1"/>
  <c r="J378" i="57" a="1"/>
  <c r="J378" i="57" s="1"/>
  <c r="E114" i="46" a="1"/>
  <c r="E114" i="46" s="1"/>
  <c r="H379" i="57" s="1" a="1"/>
  <c r="H379" i="57" s="1"/>
  <c r="I379" i="57" a="1"/>
  <c r="I379" i="57" s="1"/>
  <c r="J379" i="57" a="1"/>
  <c r="J379" i="57" s="1"/>
  <c r="E113" i="10"/>
  <c r="I380" i="57" a="1"/>
  <c r="I380" i="57" s="1"/>
  <c r="J380" i="57" a="1"/>
  <c r="J380" i="57" s="1"/>
  <c r="E114" i="10"/>
  <c r="E116" i="46" s="1" a="1"/>
  <c r="E116" i="46" s="1"/>
  <c r="H381" i="57" s="1" a="1"/>
  <c r="H381" i="57" s="1"/>
  <c r="I381" i="57" a="1"/>
  <c r="I381" i="57" s="1"/>
  <c r="J381" i="57" a="1"/>
  <c r="J381" i="57" s="1"/>
  <c r="E117" i="46" a="1"/>
  <c r="E117" i="46" s="1"/>
  <c r="H382" i="57" s="1" a="1"/>
  <c r="H382" i="57" s="1"/>
  <c r="I382" i="57" a="1"/>
  <c r="I382" i="57" s="1"/>
  <c r="J382" i="57" a="1"/>
  <c r="J382" i="57" s="1"/>
  <c r="E116" i="10"/>
  <c r="E118" i="46" s="1" a="1"/>
  <c r="E118" i="46" s="1"/>
  <c r="H383" i="57" s="1" a="1"/>
  <c r="H383" i="57" s="1"/>
  <c r="I383" i="57" a="1"/>
  <c r="I383" i="57" s="1"/>
  <c r="J383" i="57" a="1"/>
  <c r="J383" i="57" s="1"/>
  <c r="E117" i="10"/>
  <c r="E119" i="46" s="1" a="1"/>
  <c r="E119" i="46" s="1"/>
  <c r="H384" i="57" s="1" a="1"/>
  <c r="H384" i="57" s="1"/>
  <c r="I384" i="57" a="1"/>
  <c r="I384" i="57" s="1"/>
  <c r="J384" i="57" a="1"/>
  <c r="J384" i="57" s="1"/>
  <c r="E120" i="46" a="1"/>
  <c r="E120" i="46" s="1"/>
  <c r="H385" i="57" s="1" a="1"/>
  <c r="H385" i="57" s="1"/>
  <c r="I385" i="57" a="1"/>
  <c r="I385" i="57" s="1"/>
  <c r="J385" i="57" a="1"/>
  <c r="J385" i="57" s="1"/>
  <c r="E119" i="10"/>
  <c r="E121" i="46" s="1" a="1"/>
  <c r="E121" i="46" s="1"/>
  <c r="H386" i="57" s="1" a="1"/>
  <c r="H386" i="57" s="1"/>
  <c r="I386" i="57" a="1"/>
  <c r="I386" i="57" s="1"/>
  <c r="J386" i="57" a="1"/>
  <c r="J386" i="57" s="1"/>
  <c r="E120" i="10"/>
  <c r="H258" i="57" s="1" a="1"/>
  <c r="H258" i="57" s="1"/>
  <c r="I387" i="57" a="1"/>
  <c r="I387" i="57" s="1"/>
  <c r="J387" i="57" a="1"/>
  <c r="J387" i="57" s="1"/>
  <c r="E123" i="46" a="1"/>
  <c r="E123" i="46" s="1"/>
  <c r="H388" i="57" s="1" a="1"/>
  <c r="H388" i="57" s="1"/>
  <c r="I388" i="57" a="1"/>
  <c r="I388" i="57" s="1"/>
  <c r="J388" i="57" a="1"/>
  <c r="J388" i="57" s="1"/>
  <c r="E122" i="10"/>
  <c r="H260" i="57" s="1" a="1"/>
  <c r="H260" i="57" s="1"/>
  <c r="I389" i="57" a="1"/>
  <c r="I389" i="57" s="1"/>
  <c r="J389" i="57" a="1"/>
  <c r="J389" i="57" s="1"/>
  <c r="E123" i="10"/>
  <c r="H261" i="57" s="1" a="1"/>
  <c r="H261" i="57" s="1"/>
  <c r="I390" i="57" a="1"/>
  <c r="I390" i="57" s="1"/>
  <c r="J390" i="57" a="1"/>
  <c r="J390" i="57" s="1"/>
  <c r="E126" i="46" a="1"/>
  <c r="E126" i="46" s="1"/>
  <c r="H391" i="57" s="1" a="1"/>
  <c r="H391" i="57" s="1"/>
  <c r="I391" i="57" a="1"/>
  <c r="I391" i="57" s="1"/>
  <c r="J391" i="57" a="1"/>
  <c r="J391" i="57" s="1"/>
  <c r="E125" i="10"/>
  <c r="E127" i="46" s="1" a="1"/>
  <c r="E127" i="46" s="1"/>
  <c r="H392" i="57" s="1" a="1"/>
  <c r="H392" i="57" s="1"/>
  <c r="I392" i="57" a="1"/>
  <c r="I392" i="57" s="1"/>
  <c r="J392" i="57" a="1"/>
  <c r="J392" i="57" s="1"/>
  <c r="E126" i="10"/>
  <c r="E128" i="46" s="1" a="1"/>
  <c r="E128" i="46" s="1"/>
  <c r="H393" i="57" s="1" a="1"/>
  <c r="H393" i="57" s="1"/>
  <c r="I393" i="57" a="1"/>
  <c r="I393" i="57" s="1"/>
  <c r="J393" i="57" a="1"/>
  <c r="J393" i="57" s="1"/>
  <c r="E129" i="46" a="1"/>
  <c r="E129" i="46" s="1"/>
  <c r="H394" i="57" s="1" a="1"/>
  <c r="H394" i="57" s="1"/>
  <c r="I394" i="57" a="1"/>
  <c r="I394" i="57" s="1"/>
  <c r="J394" i="57" a="1"/>
  <c r="J394" i="57" s="1"/>
  <c r="E128" i="10"/>
  <c r="I395" i="57" a="1"/>
  <c r="I395" i="57" s="1"/>
  <c r="J395" i="57" a="1"/>
  <c r="J395" i="57" s="1"/>
  <c r="E129" i="10"/>
  <c r="I396" i="57" a="1"/>
  <c r="I396" i="57" s="1"/>
  <c r="J396" i="57" a="1"/>
  <c r="J396" i="57" s="1"/>
  <c r="E132" i="46" a="1"/>
  <c r="E132" i="46" s="1"/>
  <c r="H397" i="57" s="1" a="1"/>
  <c r="H397" i="57" s="1"/>
  <c r="I397" i="57" a="1"/>
  <c r="I397" i="57" s="1"/>
  <c r="J397" i="57" a="1"/>
  <c r="J397" i="57" s="1"/>
  <c r="E131" i="10"/>
  <c r="E133" i="46" s="1" a="1"/>
  <c r="E133" i="46" s="1"/>
  <c r="H398" i="57" s="1" a="1"/>
  <c r="H398" i="57" s="1"/>
  <c r="I398" i="57" a="1"/>
  <c r="I398" i="57" s="1"/>
  <c r="J398" i="57" a="1"/>
  <c r="J398" i="57" s="1"/>
  <c r="E132" i="10"/>
  <c r="I399" i="57" a="1"/>
  <c r="I399" i="57" s="1"/>
  <c r="J399" i="57" a="1"/>
  <c r="J399" i="57" s="1"/>
  <c r="E135" i="46" a="1"/>
  <c r="E135" i="46" s="1"/>
  <c r="H400" i="57" s="1" a="1"/>
  <c r="H400" i="57" s="1"/>
  <c r="I400" i="57" a="1"/>
  <c r="I400" i="57" s="1"/>
  <c r="J400" i="57" a="1"/>
  <c r="J400" i="57" s="1"/>
  <c r="E134" i="10"/>
  <c r="H272" i="57" s="1" a="1"/>
  <c r="H272" i="57" s="1"/>
  <c r="I401" i="57" a="1"/>
  <c r="I401" i="57" s="1"/>
  <c r="J401" i="57" a="1"/>
  <c r="J401" i="57" s="1"/>
  <c r="E135" i="10"/>
  <c r="H273" i="57" s="1" a="1"/>
  <c r="H273" i="57" s="1"/>
  <c r="I402" i="57" a="1"/>
  <c r="I402" i="57" s="1"/>
  <c r="J402" i="57" a="1"/>
  <c r="J402" i="57" s="1"/>
  <c r="E138" i="46" a="1"/>
  <c r="E138" i="46" s="1"/>
  <c r="H403" i="57" s="1" a="1"/>
  <c r="H403" i="57" s="1"/>
  <c r="I403" i="57" a="1"/>
  <c r="I403" i="57" s="1"/>
  <c r="J403" i="57" a="1"/>
  <c r="J403" i="57" s="1"/>
  <c r="E139" i="46" a="1"/>
  <c r="E139" i="46" s="1"/>
  <c r="H404" i="57" s="1" a="1"/>
  <c r="H404" i="57" s="1"/>
  <c r="I404" i="57" a="1"/>
  <c r="I404" i="57" s="1"/>
  <c r="J404" i="57" a="1"/>
  <c r="J404" i="57" s="1"/>
  <c r="E140" i="46" a="1"/>
  <c r="E140" i="46" s="1"/>
  <c r="H405" i="57" s="1" a="1"/>
  <c r="H405" i="57" s="1"/>
  <c r="I405" i="57" a="1"/>
  <c r="I405" i="57" s="1"/>
  <c r="J405" i="57" a="1"/>
  <c r="J405" i="57" s="1"/>
  <c r="J277" i="57" a="1"/>
  <c r="J277" i="57" s="1"/>
  <c r="I277" i="57" a="1"/>
  <c r="I277" i="57" s="1"/>
  <c r="E12" i="46" a="1"/>
  <c r="E12" i="46" s="1"/>
  <c r="H277" i="57" s="1" a="1"/>
  <c r="H277" i="57" s="1"/>
  <c r="H276" i="57" a="1"/>
  <c r="H276" i="57" s="1"/>
  <c r="H149" i="57" a="1"/>
  <c r="H149" i="57" s="1"/>
  <c r="I149" i="57" a="1"/>
  <c r="I149" i="57" s="1"/>
  <c r="J149" i="57" a="1"/>
  <c r="J149" i="57" s="1"/>
  <c r="H150" i="57" a="1"/>
  <c r="H150" i="57" s="1"/>
  <c r="I150" i="57" a="1"/>
  <c r="I150" i="57" s="1"/>
  <c r="J150" i="57" a="1"/>
  <c r="J150" i="57" s="1"/>
  <c r="H151" i="57" a="1"/>
  <c r="H151" i="57" s="1"/>
  <c r="I151" i="57" a="1"/>
  <c r="I151" i="57" s="1"/>
  <c r="J151" i="57" a="1"/>
  <c r="J151" i="57" s="1"/>
  <c r="H152" i="57" a="1"/>
  <c r="H152" i="57" s="1"/>
  <c r="I152" i="57" a="1"/>
  <c r="I152" i="57" s="1"/>
  <c r="J152" i="57" a="1"/>
  <c r="J152" i="57" s="1"/>
  <c r="H153" i="57" a="1"/>
  <c r="H153" i="57" s="1"/>
  <c r="I153" i="57" a="1"/>
  <c r="I153" i="57" s="1"/>
  <c r="J153" i="57" a="1"/>
  <c r="J153" i="57" s="1"/>
  <c r="H154" i="57" a="1"/>
  <c r="H154" i="57" s="1"/>
  <c r="I154" i="57" a="1"/>
  <c r="I154" i="57" s="1"/>
  <c r="J154" i="57" a="1"/>
  <c r="J154" i="57" s="1"/>
  <c r="H155" i="57" a="1"/>
  <c r="H155" i="57" s="1"/>
  <c r="I155" i="57" a="1"/>
  <c r="I155" i="57" s="1"/>
  <c r="J155" i="57" a="1"/>
  <c r="J155" i="57" s="1"/>
  <c r="H156" i="57" a="1"/>
  <c r="H156" i="57" s="1"/>
  <c r="I156" i="57" a="1"/>
  <c r="I156" i="57" s="1"/>
  <c r="J156" i="57" a="1"/>
  <c r="J156" i="57" s="1"/>
  <c r="H157" i="57" a="1"/>
  <c r="H157" i="57" s="1"/>
  <c r="I157" i="57" a="1"/>
  <c r="I157" i="57" s="1"/>
  <c r="J157" i="57" a="1"/>
  <c r="J157" i="57" s="1"/>
  <c r="I158" i="57" a="1"/>
  <c r="I158" i="57" s="1"/>
  <c r="J158" i="57" a="1"/>
  <c r="J158" i="57" s="1"/>
  <c r="H159" i="57" a="1"/>
  <c r="H159" i="57" s="1"/>
  <c r="I159" i="57" a="1"/>
  <c r="I159" i="57" s="1"/>
  <c r="J159" i="57" a="1"/>
  <c r="J159" i="57" s="1"/>
  <c r="H160" i="57" a="1"/>
  <c r="H160" i="57" s="1"/>
  <c r="I160" i="57" a="1"/>
  <c r="I160" i="57" s="1"/>
  <c r="J160" i="57" a="1"/>
  <c r="J160" i="57" s="1"/>
  <c r="I161" i="57" a="1"/>
  <c r="I161" i="57" s="1"/>
  <c r="J161" i="57" a="1"/>
  <c r="J161" i="57" s="1"/>
  <c r="I162" i="57" a="1"/>
  <c r="I162" i="57" s="1"/>
  <c r="J162" i="57" a="1"/>
  <c r="J162" i="57" s="1"/>
  <c r="H163" i="57" a="1"/>
  <c r="H163" i="57" s="1"/>
  <c r="I163" i="57" a="1"/>
  <c r="I163" i="57" s="1"/>
  <c r="J163" i="57" a="1"/>
  <c r="J163" i="57" s="1"/>
  <c r="I164" i="57" a="1"/>
  <c r="I164" i="57" s="1"/>
  <c r="J164" i="57" a="1"/>
  <c r="J164" i="57" s="1"/>
  <c r="I165" i="57" a="1"/>
  <c r="I165" i="57" s="1"/>
  <c r="J165" i="57" a="1"/>
  <c r="J165" i="57" s="1"/>
  <c r="H166" i="57" a="1"/>
  <c r="H166" i="57" s="1"/>
  <c r="I166" i="57" a="1"/>
  <c r="I166" i="57" s="1"/>
  <c r="J166" i="57" a="1"/>
  <c r="J166" i="57" s="1"/>
  <c r="I167" i="57" a="1"/>
  <c r="I167" i="57" s="1"/>
  <c r="J167" i="57" a="1"/>
  <c r="J167" i="57" s="1"/>
  <c r="I168" i="57" a="1"/>
  <c r="I168" i="57" s="1"/>
  <c r="J168" i="57" a="1"/>
  <c r="J168" i="57" s="1"/>
  <c r="H169" i="57" a="1"/>
  <c r="H169" i="57" s="1"/>
  <c r="I169" i="57" a="1"/>
  <c r="I169" i="57" s="1"/>
  <c r="J169" i="57" a="1"/>
  <c r="J169" i="57" s="1"/>
  <c r="I170" i="57" a="1"/>
  <c r="I170" i="57" s="1"/>
  <c r="J170" i="57" a="1"/>
  <c r="J170" i="57" s="1"/>
  <c r="I171" i="57" a="1"/>
  <c r="I171" i="57" s="1"/>
  <c r="J171" i="57" a="1"/>
  <c r="J171" i="57" s="1"/>
  <c r="H172" i="57" a="1"/>
  <c r="H172" i="57" s="1"/>
  <c r="I172" i="57" a="1"/>
  <c r="I172" i="57" s="1"/>
  <c r="J172" i="57" a="1"/>
  <c r="J172" i="57" s="1"/>
  <c r="I173" i="57" a="1"/>
  <c r="I173" i="57"/>
  <c r="J173" i="57" a="1"/>
  <c r="J173" i="57" s="1"/>
  <c r="I174" i="57" a="1"/>
  <c r="I174" i="57" s="1"/>
  <c r="J174" i="57" a="1"/>
  <c r="J174" i="57" s="1"/>
  <c r="H175" i="57" a="1"/>
  <c r="H175" i="57" s="1"/>
  <c r="I175" i="57" a="1"/>
  <c r="I175" i="57" s="1"/>
  <c r="J175" i="57" a="1"/>
  <c r="J175" i="57" s="1"/>
  <c r="I176" i="57" a="1"/>
  <c r="I176" i="57" s="1"/>
  <c r="J176" i="57" a="1"/>
  <c r="J176" i="57" s="1"/>
  <c r="I177" i="57" a="1"/>
  <c r="I177" i="57" s="1"/>
  <c r="J177" i="57" a="1"/>
  <c r="J177" i="57" s="1"/>
  <c r="H178" i="57" a="1"/>
  <c r="H178" i="57" s="1"/>
  <c r="I178" i="57" a="1"/>
  <c r="I178" i="57" s="1"/>
  <c r="J178" i="57" a="1"/>
  <c r="J178" i="57" s="1"/>
  <c r="I179" i="57" a="1"/>
  <c r="I179" i="57" s="1"/>
  <c r="J179" i="57" a="1"/>
  <c r="J179" i="57" s="1"/>
  <c r="I180" i="57" a="1"/>
  <c r="I180" i="57" s="1"/>
  <c r="J180" i="57" a="1"/>
  <c r="J180" i="57" s="1"/>
  <c r="H181" i="57" a="1"/>
  <c r="H181" i="57" s="1"/>
  <c r="I181" i="57" a="1"/>
  <c r="I181" i="57" s="1"/>
  <c r="J181" i="57" a="1"/>
  <c r="J181" i="57" s="1"/>
  <c r="I182" i="57" a="1"/>
  <c r="I182" i="57" s="1"/>
  <c r="J182" i="57" a="1"/>
  <c r="J182" i="57" s="1"/>
  <c r="I183" i="57" a="1"/>
  <c r="I183" i="57" s="1"/>
  <c r="J183" i="57" a="1"/>
  <c r="J183" i="57" s="1"/>
  <c r="H184" i="57" a="1"/>
  <c r="H184" i="57" s="1"/>
  <c r="I184" i="57" a="1"/>
  <c r="I184" i="57" s="1"/>
  <c r="J184" i="57" a="1"/>
  <c r="J184" i="57" s="1"/>
  <c r="I185" i="57" a="1"/>
  <c r="I185" i="57" s="1"/>
  <c r="J185" i="57" a="1"/>
  <c r="J185" i="57" s="1"/>
  <c r="I186" i="57" a="1"/>
  <c r="I186" i="57" s="1"/>
  <c r="J186" i="57" a="1"/>
  <c r="J186" i="57" s="1"/>
  <c r="H187" i="57" a="1"/>
  <c r="H187" i="57" s="1"/>
  <c r="I187" i="57" a="1"/>
  <c r="I187" i="57" s="1"/>
  <c r="J187" i="57" a="1"/>
  <c r="J187" i="57" s="1"/>
  <c r="H188" i="57" a="1"/>
  <c r="H188" i="57" s="1"/>
  <c r="I188" i="57" a="1"/>
  <c r="I188" i="57" s="1"/>
  <c r="J188" i="57" a="1"/>
  <c r="J188" i="57" s="1"/>
  <c r="I189" i="57" a="1"/>
  <c r="I189" i="57" s="1"/>
  <c r="J189" i="57" a="1"/>
  <c r="J189" i="57" s="1"/>
  <c r="H190" i="57" a="1"/>
  <c r="H190" i="57" s="1"/>
  <c r="I190" i="57" a="1"/>
  <c r="I190" i="57" s="1"/>
  <c r="J190" i="57" a="1"/>
  <c r="J190" i="57" s="1"/>
  <c r="I191" i="57" a="1"/>
  <c r="I191" i="57" s="1"/>
  <c r="J191" i="57" a="1"/>
  <c r="J191" i="57" s="1"/>
  <c r="I192" i="57" a="1"/>
  <c r="I192" i="57" s="1"/>
  <c r="J192" i="57" a="1"/>
  <c r="J192" i="57" s="1"/>
  <c r="H193" i="57" a="1"/>
  <c r="H193" i="57" s="1"/>
  <c r="I193" i="57" a="1"/>
  <c r="I193" i="57" s="1"/>
  <c r="J193" i="57" a="1"/>
  <c r="J193" i="57" s="1"/>
  <c r="I194" i="57" a="1"/>
  <c r="I194" i="57" s="1"/>
  <c r="J194" i="57" a="1"/>
  <c r="J194" i="57" s="1"/>
  <c r="I195" i="57" a="1"/>
  <c r="I195" i="57" s="1"/>
  <c r="J195" i="57" a="1"/>
  <c r="J195" i="57" s="1"/>
  <c r="H196" i="57" a="1"/>
  <c r="H196" i="57" s="1"/>
  <c r="I196" i="57" a="1"/>
  <c r="I196" i="57" s="1"/>
  <c r="J196" i="57" a="1"/>
  <c r="J196" i="57" s="1"/>
  <c r="I197" i="57" a="1"/>
  <c r="I197" i="57" s="1"/>
  <c r="J197" i="57" a="1"/>
  <c r="J197" i="57" s="1"/>
  <c r="I198" i="57" a="1"/>
  <c r="I198" i="57" s="1"/>
  <c r="J198" i="57" a="1"/>
  <c r="J198" i="57" s="1"/>
  <c r="H199" i="57" a="1"/>
  <c r="H199" i="57" s="1"/>
  <c r="I199" i="57" a="1"/>
  <c r="I199" i="57" s="1"/>
  <c r="J199" i="57" a="1"/>
  <c r="J199" i="57" s="1"/>
  <c r="I200" i="57" a="1"/>
  <c r="I200" i="57" s="1"/>
  <c r="J200" i="57" a="1"/>
  <c r="J200" i="57" s="1"/>
  <c r="I201" i="57" a="1"/>
  <c r="I201" i="57" s="1"/>
  <c r="J201" i="57" a="1"/>
  <c r="J201" i="57" s="1"/>
  <c r="H202" i="57" a="1"/>
  <c r="H202" i="57" s="1"/>
  <c r="I202" i="57" a="1"/>
  <c r="I202" i="57" s="1"/>
  <c r="J202" i="57" a="1"/>
  <c r="J202" i="57" s="1"/>
  <c r="I203" i="57" a="1"/>
  <c r="I203" i="57" s="1"/>
  <c r="J203" i="57" a="1"/>
  <c r="J203" i="57" s="1"/>
  <c r="I204" i="57" a="1"/>
  <c r="I204" i="57" s="1"/>
  <c r="J204" i="57" a="1"/>
  <c r="J204" i="57" s="1"/>
  <c r="H205" i="57" a="1"/>
  <c r="H205" i="57" s="1"/>
  <c r="I205" i="57" a="1"/>
  <c r="I205" i="57" s="1"/>
  <c r="J205" i="57" a="1"/>
  <c r="J205" i="57" s="1"/>
  <c r="I206" i="57" a="1"/>
  <c r="I206" i="57" s="1"/>
  <c r="J206" i="57" a="1"/>
  <c r="J206" i="57" s="1"/>
  <c r="I207" i="57" a="1"/>
  <c r="I207" i="57" s="1"/>
  <c r="J207" i="57" a="1"/>
  <c r="J207" i="57" s="1"/>
  <c r="H208" i="57" a="1"/>
  <c r="H208" i="57" s="1"/>
  <c r="I208" i="57" a="1"/>
  <c r="I208" i="57" s="1"/>
  <c r="J208" i="57" a="1"/>
  <c r="J208" i="57" s="1"/>
  <c r="I209" i="57" a="1"/>
  <c r="I209" i="57" s="1"/>
  <c r="J209" i="57" a="1"/>
  <c r="J209" i="57" s="1"/>
  <c r="I210" i="57" a="1"/>
  <c r="I210" i="57" s="1"/>
  <c r="J210" i="57" a="1"/>
  <c r="J210" i="57" s="1"/>
  <c r="H211" i="57" a="1"/>
  <c r="H211" i="57" s="1"/>
  <c r="I211" i="57" a="1"/>
  <c r="I211" i="57" s="1"/>
  <c r="J211" i="57" a="1"/>
  <c r="J211" i="57" s="1"/>
  <c r="I212" i="57" a="1"/>
  <c r="I212" i="57" s="1"/>
  <c r="J212" i="57" a="1"/>
  <c r="J212" i="57" s="1"/>
  <c r="I213" i="57" a="1"/>
  <c r="I213" i="57" s="1"/>
  <c r="J213" i="57" a="1"/>
  <c r="J213" i="57" s="1"/>
  <c r="H214" i="57" a="1"/>
  <c r="H214" i="57" s="1"/>
  <c r="I214" i="57" a="1"/>
  <c r="I214" i="57" s="1"/>
  <c r="J214" i="57" a="1"/>
  <c r="J214" i="57" s="1"/>
  <c r="H215" i="57" a="1"/>
  <c r="H215" i="57" s="1"/>
  <c r="I215" i="57" a="1"/>
  <c r="I215" i="57" s="1"/>
  <c r="J215" i="57" a="1"/>
  <c r="J215" i="57" s="1"/>
  <c r="H216" i="57" a="1"/>
  <c r="H216" i="57" s="1"/>
  <c r="I216" i="57" a="1"/>
  <c r="I216" i="57" s="1"/>
  <c r="J216" i="57" a="1"/>
  <c r="J216" i="57" s="1"/>
  <c r="H217" i="57" a="1"/>
  <c r="H217" i="57" s="1"/>
  <c r="I217" i="57" a="1"/>
  <c r="I217" i="57" s="1"/>
  <c r="J217" i="57" a="1"/>
  <c r="J217" i="57" s="1"/>
  <c r="I218" i="57" a="1"/>
  <c r="I218" i="57" s="1"/>
  <c r="J218" i="57" a="1"/>
  <c r="J218" i="57" s="1"/>
  <c r="I219" i="57" a="1"/>
  <c r="I219" i="57" s="1"/>
  <c r="J219" i="57" a="1"/>
  <c r="J219" i="57" s="1"/>
  <c r="H220" i="57" a="1"/>
  <c r="H220" i="57" s="1"/>
  <c r="I220" i="57" a="1"/>
  <c r="I220" i="57" s="1"/>
  <c r="J220" i="57" a="1"/>
  <c r="J220" i="57" s="1"/>
  <c r="I221" i="57" a="1"/>
  <c r="I221" i="57" s="1"/>
  <c r="J221" i="57" a="1"/>
  <c r="J221" i="57" s="1"/>
  <c r="I222" i="57" a="1"/>
  <c r="I222" i="57" s="1"/>
  <c r="J222" i="57" a="1"/>
  <c r="J222" i="57" s="1"/>
  <c r="H223" i="57" a="1"/>
  <c r="H223" i="57" s="1"/>
  <c r="I223" i="57" a="1"/>
  <c r="I223" i="57" s="1"/>
  <c r="J223" i="57" a="1"/>
  <c r="J223" i="57" s="1"/>
  <c r="I224" i="57" a="1"/>
  <c r="I224" i="57" s="1"/>
  <c r="J224" i="57" a="1"/>
  <c r="J224" i="57" s="1"/>
  <c r="I225" i="57" a="1"/>
  <c r="I225" i="57" s="1"/>
  <c r="J225" i="57" a="1"/>
  <c r="J225" i="57" s="1"/>
  <c r="H226" i="57" a="1"/>
  <c r="H226" i="57" s="1"/>
  <c r="I226" i="57" a="1"/>
  <c r="I226" i="57" s="1"/>
  <c r="J226" i="57" a="1"/>
  <c r="J226" i="57" s="1"/>
  <c r="I227" i="57" a="1"/>
  <c r="I227" i="57" s="1"/>
  <c r="J227" i="57" a="1"/>
  <c r="J227" i="57" s="1"/>
  <c r="I228" i="57" a="1"/>
  <c r="I228" i="57" s="1"/>
  <c r="J228" i="57" a="1"/>
  <c r="J228" i="57" s="1"/>
  <c r="H229" i="57" a="1"/>
  <c r="H229" i="57" s="1"/>
  <c r="I229" i="57" a="1"/>
  <c r="I229" i="57" s="1"/>
  <c r="J229" i="57" a="1"/>
  <c r="J229" i="57" s="1"/>
  <c r="I230" i="57" a="1"/>
  <c r="I230" i="57" s="1"/>
  <c r="J230" i="57" a="1"/>
  <c r="J230" i="57" s="1"/>
  <c r="I231" i="57" a="1"/>
  <c r="I231" i="57" s="1"/>
  <c r="J231" i="57" a="1"/>
  <c r="J231" i="57" s="1"/>
  <c r="H232" i="57" a="1"/>
  <c r="H232" i="57" s="1"/>
  <c r="I232" i="57" a="1"/>
  <c r="I232" i="57" s="1"/>
  <c r="J232" i="57" a="1"/>
  <c r="J232" i="57" s="1"/>
  <c r="I233" i="57" a="1"/>
  <c r="I233" i="57" s="1"/>
  <c r="J233" i="57" a="1"/>
  <c r="J233" i="57" s="1"/>
  <c r="I234" i="57" a="1"/>
  <c r="I234" i="57" s="1"/>
  <c r="J234" i="57" a="1"/>
  <c r="J234" i="57" s="1"/>
  <c r="H235" i="57" a="1"/>
  <c r="H235" i="57" s="1"/>
  <c r="I235" i="57" a="1"/>
  <c r="I235" i="57" s="1"/>
  <c r="J235" i="57" a="1"/>
  <c r="J235" i="57" s="1"/>
  <c r="I236" i="57" a="1"/>
  <c r="I236" i="57" s="1"/>
  <c r="J236" i="57" a="1"/>
  <c r="J236" i="57" s="1"/>
  <c r="I237" i="57" a="1"/>
  <c r="I237" i="57" s="1"/>
  <c r="J237" i="57" a="1"/>
  <c r="J237" i="57" s="1"/>
  <c r="H238" i="57" a="1"/>
  <c r="H238" i="57" s="1"/>
  <c r="I238" i="57" a="1"/>
  <c r="I238" i="57" s="1"/>
  <c r="J238" i="57" a="1"/>
  <c r="J238" i="57" s="1"/>
  <c r="I239" i="57" a="1"/>
  <c r="I239" i="57" s="1"/>
  <c r="J239" i="57" a="1"/>
  <c r="J239" i="57" s="1"/>
  <c r="I240" i="57" a="1"/>
  <c r="I240" i="57" s="1"/>
  <c r="J240" i="57" a="1"/>
  <c r="J240" i="57" s="1"/>
  <c r="H241" i="57" a="1"/>
  <c r="H241" i="57" s="1"/>
  <c r="I241" i="57" a="1"/>
  <c r="I241" i="57" s="1"/>
  <c r="J241" i="57" a="1"/>
  <c r="J241" i="57" s="1"/>
  <c r="I242" i="57" a="1"/>
  <c r="I242" i="57" s="1"/>
  <c r="J242" i="57" a="1"/>
  <c r="J242" i="57" s="1"/>
  <c r="I243" i="57" a="1"/>
  <c r="I243" i="57" s="1"/>
  <c r="J243" i="57" a="1"/>
  <c r="J243" i="57" s="1"/>
  <c r="H244" i="57" a="1"/>
  <c r="H244" i="57" s="1"/>
  <c r="I244" i="57" a="1"/>
  <c r="I244" i="57" s="1"/>
  <c r="J244" i="57" a="1"/>
  <c r="J244" i="57" s="1"/>
  <c r="H245" i="57" a="1"/>
  <c r="H245" i="57" s="1"/>
  <c r="I245" i="57" a="1"/>
  <c r="I245" i="57" s="1"/>
  <c r="J245" i="57" a="1"/>
  <c r="J245" i="57" s="1"/>
  <c r="H246" i="57" a="1"/>
  <c r="H246" i="57" s="1"/>
  <c r="I246" i="57" a="1"/>
  <c r="I246" i="57" s="1"/>
  <c r="J246" i="57" a="1"/>
  <c r="J246" i="57" s="1"/>
  <c r="H247" i="57" a="1"/>
  <c r="H247" i="57" s="1"/>
  <c r="I247" i="57" a="1"/>
  <c r="I247" i="57" s="1"/>
  <c r="J247" i="57" a="1"/>
  <c r="J247" i="57" s="1"/>
  <c r="I248" i="57" a="1"/>
  <c r="I248" i="57" s="1"/>
  <c r="J248" i="57" a="1"/>
  <c r="J248" i="57" s="1"/>
  <c r="I249" i="57" a="1"/>
  <c r="I249" i="57" s="1"/>
  <c r="J249" i="57" a="1"/>
  <c r="J249" i="57" s="1"/>
  <c r="H250" i="57" a="1"/>
  <c r="H250" i="57" s="1"/>
  <c r="I250" i="57" a="1"/>
  <c r="I250" i="57" s="1"/>
  <c r="J250" i="57" a="1"/>
  <c r="J250" i="57" s="1"/>
  <c r="I251" i="57" a="1"/>
  <c r="I251" i="57" s="1"/>
  <c r="J251" i="57" a="1"/>
  <c r="J251" i="57" s="1"/>
  <c r="I252" i="57" a="1"/>
  <c r="I252" i="57" s="1"/>
  <c r="J252" i="57" a="1"/>
  <c r="J252" i="57" s="1"/>
  <c r="H253" i="57" a="1"/>
  <c r="H253" i="57" s="1"/>
  <c r="I253" i="57" a="1"/>
  <c r="I253" i="57" s="1"/>
  <c r="J253" i="57" a="1"/>
  <c r="J253" i="57" s="1"/>
  <c r="I254" i="57" a="1"/>
  <c r="I254" i="57" s="1"/>
  <c r="J254" i="57" a="1"/>
  <c r="J254" i="57" s="1"/>
  <c r="I255" i="57" a="1"/>
  <c r="I255" i="57" s="1"/>
  <c r="J255" i="57" a="1"/>
  <c r="J255" i="57" s="1"/>
  <c r="H256" i="57" a="1"/>
  <c r="H256" i="57" s="1"/>
  <c r="I256" i="57" a="1"/>
  <c r="I256" i="57" s="1"/>
  <c r="J256" i="57" a="1"/>
  <c r="J256" i="57" s="1"/>
  <c r="I257" i="57" a="1"/>
  <c r="I257" i="57" s="1"/>
  <c r="J257" i="57" a="1"/>
  <c r="J257" i="57" s="1"/>
  <c r="I258" i="57" a="1"/>
  <c r="I258" i="57" s="1"/>
  <c r="J258" i="57" a="1"/>
  <c r="J258" i="57" s="1"/>
  <c r="H259" i="57" a="1"/>
  <c r="H259" i="57" s="1"/>
  <c r="I259" i="57" a="1"/>
  <c r="I259" i="57" s="1"/>
  <c r="J259" i="57" a="1"/>
  <c r="J259" i="57" s="1"/>
  <c r="I260" i="57" a="1"/>
  <c r="I260" i="57" s="1"/>
  <c r="J260" i="57" a="1"/>
  <c r="J260" i="57" s="1"/>
  <c r="I261" i="57" a="1"/>
  <c r="I261" i="57" s="1"/>
  <c r="J261" i="57" a="1"/>
  <c r="J261" i="57" s="1"/>
  <c r="H262" i="57" a="1"/>
  <c r="H262" i="57" s="1"/>
  <c r="I262" i="57" a="1"/>
  <c r="I262" i="57" s="1"/>
  <c r="J262" i="57" a="1"/>
  <c r="J262" i="57" s="1"/>
  <c r="I263" i="57" a="1"/>
  <c r="I263" i="57" s="1"/>
  <c r="J263" i="57" a="1"/>
  <c r="J263" i="57" s="1"/>
  <c r="I264" i="57" a="1"/>
  <c r="I264" i="57" s="1"/>
  <c r="J264" i="57" a="1"/>
  <c r="J264" i="57" s="1"/>
  <c r="H265" i="57" a="1"/>
  <c r="H265" i="57" s="1"/>
  <c r="I265" i="57" a="1"/>
  <c r="I265" i="57" s="1"/>
  <c r="J265" i="57" a="1"/>
  <c r="J265" i="57" s="1"/>
  <c r="I266" i="57" a="1"/>
  <c r="I266" i="57" s="1"/>
  <c r="J266" i="57" a="1"/>
  <c r="J266" i="57" s="1"/>
  <c r="I267" i="57" a="1"/>
  <c r="I267" i="57" s="1"/>
  <c r="J267" i="57" a="1"/>
  <c r="J267" i="57" s="1"/>
  <c r="H268" i="57" a="1"/>
  <c r="H268" i="57" s="1"/>
  <c r="I268" i="57" a="1"/>
  <c r="I268" i="57" s="1"/>
  <c r="J268" i="57" a="1"/>
  <c r="J268" i="57" s="1"/>
  <c r="I269" i="57" a="1"/>
  <c r="I269" i="57" s="1"/>
  <c r="J269" i="57" a="1"/>
  <c r="J269" i="57" s="1"/>
  <c r="I270" i="57" a="1"/>
  <c r="I270" i="57" s="1"/>
  <c r="J270" i="57" a="1"/>
  <c r="J270" i="57" s="1"/>
  <c r="H271" i="57" a="1"/>
  <c r="H271" i="57" s="1"/>
  <c r="I271" i="57" a="1"/>
  <c r="I271" i="57" s="1"/>
  <c r="J271" i="57" a="1"/>
  <c r="J271" i="57" s="1"/>
  <c r="I272" i="57" a="1"/>
  <c r="I272" i="57" s="1"/>
  <c r="J272" i="57" a="1"/>
  <c r="J272" i="57" s="1"/>
  <c r="I273" i="57" a="1"/>
  <c r="I273" i="57" s="1"/>
  <c r="J273" i="57" a="1"/>
  <c r="J273" i="57" s="1"/>
  <c r="H274" i="57" a="1"/>
  <c r="H274" i="57" s="1"/>
  <c r="I274" i="57" a="1"/>
  <c r="I274" i="57" s="1"/>
  <c r="J274" i="57" a="1"/>
  <c r="J274" i="57" s="1"/>
  <c r="H275" i="57" a="1"/>
  <c r="H275" i="57" s="1"/>
  <c r="I275" i="57" a="1"/>
  <c r="I275" i="57" s="1"/>
  <c r="J275" i="57" a="1"/>
  <c r="J275" i="57" s="1"/>
  <c r="I276" i="57" a="1"/>
  <c r="I276" i="57" s="1"/>
  <c r="J276" i="57" a="1"/>
  <c r="J276" i="57" s="1"/>
  <c r="J148" i="57" a="1"/>
  <c r="J148" i="57" s="1"/>
  <c r="I148" i="57" a="1"/>
  <c r="I148" i="57" s="1"/>
  <c r="H148" i="57" a="1"/>
  <c r="H148" i="57" s="1"/>
  <c r="G61" i="22"/>
  <c r="H147" i="57" s="1" a="1"/>
  <c r="H147" i="57" s="1"/>
  <c r="G8" i="22"/>
  <c r="H94" i="57" s="1" a="1"/>
  <c r="H94" i="57" s="1"/>
  <c r="I94" i="57" a="1"/>
  <c r="I94" i="57" s="1"/>
  <c r="J94" i="57" a="1"/>
  <c r="J94" i="57" s="1"/>
  <c r="G9" i="22"/>
  <c r="H95" i="57" s="1" a="1"/>
  <c r="H95" i="57" s="1"/>
  <c r="I95" i="57" a="1"/>
  <c r="I95" i="57" s="1"/>
  <c r="J95" i="57" a="1"/>
  <c r="J95" i="57" s="1"/>
  <c r="G10" i="22"/>
  <c r="H96" i="57" s="1" a="1"/>
  <c r="H96" i="57" s="1"/>
  <c r="I96" i="57" a="1"/>
  <c r="I96" i="57" s="1"/>
  <c r="J96" i="57" a="1"/>
  <c r="J96" i="57" s="1"/>
  <c r="G11" i="22"/>
  <c r="H97" i="57" s="1" a="1"/>
  <c r="H97" i="57" s="1"/>
  <c r="I97" i="57" a="1"/>
  <c r="I97" i="57" s="1"/>
  <c r="J97" i="57" a="1"/>
  <c r="J97" i="57" s="1"/>
  <c r="G12" i="22"/>
  <c r="H98" i="57" s="1" a="1"/>
  <c r="H98" i="57" s="1"/>
  <c r="I98" i="57" a="1"/>
  <c r="I98" i="57" s="1"/>
  <c r="J98" i="57" a="1"/>
  <c r="J98" i="57" s="1"/>
  <c r="G13" i="22"/>
  <c r="H99" i="57" s="1" a="1"/>
  <c r="H99" i="57" s="1"/>
  <c r="I99" i="57" a="1"/>
  <c r="I99" i="57" s="1"/>
  <c r="J99" i="57" a="1"/>
  <c r="J99" i="57" s="1"/>
  <c r="G14" i="22"/>
  <c r="H100" i="57" s="1" a="1"/>
  <c r="H100" i="57" s="1"/>
  <c r="I100" i="57" a="1"/>
  <c r="I100" i="57" s="1"/>
  <c r="J100" i="57" a="1"/>
  <c r="J100" i="57" s="1"/>
  <c r="G15" i="22"/>
  <c r="H101" i="57" s="1" a="1"/>
  <c r="H101" i="57" s="1"/>
  <c r="I101" i="57" a="1"/>
  <c r="I101" i="57" s="1"/>
  <c r="J101" i="57" a="1"/>
  <c r="J101" i="57" s="1"/>
  <c r="G16" i="22"/>
  <c r="H102" i="57" s="1" a="1"/>
  <c r="H102" i="57" s="1"/>
  <c r="I102" i="57" a="1"/>
  <c r="I102" i="57" s="1"/>
  <c r="J102" i="57" a="1"/>
  <c r="J102" i="57" s="1"/>
  <c r="G17" i="22"/>
  <c r="H103" i="57" s="1" a="1"/>
  <c r="H103" i="57" s="1"/>
  <c r="I103" i="57" a="1"/>
  <c r="I103" i="57" s="1"/>
  <c r="J103" i="57" a="1"/>
  <c r="J103" i="57" s="1"/>
  <c r="G18" i="22"/>
  <c r="H104" i="57" s="1" a="1"/>
  <c r="H104" i="57" s="1"/>
  <c r="I104" i="57" a="1"/>
  <c r="I104" i="57" s="1"/>
  <c r="J104" i="57" a="1"/>
  <c r="J104" i="57" s="1"/>
  <c r="G19" i="22"/>
  <c r="H105" i="57" s="1" a="1"/>
  <c r="H105" i="57" s="1"/>
  <c r="I105" i="57" a="1"/>
  <c r="I105" i="57" s="1"/>
  <c r="J105" i="57" a="1"/>
  <c r="J105" i="57" s="1"/>
  <c r="G20" i="22"/>
  <c r="H106" i="57" a="1"/>
  <c r="H106" i="57" s="1"/>
  <c r="I106" i="57" a="1"/>
  <c r="I106" i="57" s="1"/>
  <c r="J106" i="57" a="1"/>
  <c r="J106" i="57" s="1"/>
  <c r="G21" i="22"/>
  <c r="H107" i="57" s="1" a="1"/>
  <c r="H107" i="57" s="1"/>
  <c r="I107" i="57" a="1"/>
  <c r="I107" i="57" s="1"/>
  <c r="J107" i="57" a="1"/>
  <c r="J107" i="57" s="1"/>
  <c r="I108" i="57" a="1"/>
  <c r="I108" i="57" s="1"/>
  <c r="J108" i="57" a="1"/>
  <c r="J108" i="57" s="1"/>
  <c r="I109" i="57" a="1"/>
  <c r="I109" i="57" s="1"/>
  <c r="J109" i="57" a="1"/>
  <c r="J109" i="57" s="1"/>
  <c r="I110" i="57" a="1"/>
  <c r="I110" i="57" s="1"/>
  <c r="J110" i="57" a="1"/>
  <c r="J110" i="57" s="1"/>
  <c r="I111" i="57" a="1"/>
  <c r="I111" i="57" s="1"/>
  <c r="J111" i="57" a="1"/>
  <c r="J111" i="57" s="1"/>
  <c r="I112" i="57" a="1"/>
  <c r="I112" i="57" s="1"/>
  <c r="J112" i="57" a="1"/>
  <c r="J112" i="57" s="1"/>
  <c r="I113" i="57" a="1"/>
  <c r="I113" i="57" s="1"/>
  <c r="J113" i="57" a="1"/>
  <c r="J113" i="57" s="1"/>
  <c r="G28" i="22"/>
  <c r="H114" i="57" s="1" a="1"/>
  <c r="H114" i="57" s="1"/>
  <c r="I114" i="57" a="1"/>
  <c r="I114" i="57" s="1"/>
  <c r="J114" i="57" a="1"/>
  <c r="J114" i="57" s="1"/>
  <c r="I115" i="57" a="1"/>
  <c r="I115" i="57" s="1"/>
  <c r="J115" i="57" a="1"/>
  <c r="J115" i="57" s="1"/>
  <c r="I116" i="57" a="1"/>
  <c r="I116" i="57" s="1"/>
  <c r="J116" i="57" a="1"/>
  <c r="J116" i="57" s="1"/>
  <c r="I117" i="57" a="1"/>
  <c r="I117" i="57" s="1"/>
  <c r="J117" i="57" a="1"/>
  <c r="J117" i="57" s="1"/>
  <c r="G32" i="22"/>
  <c r="H118" i="57" s="1" a="1"/>
  <c r="H118" i="57" s="1"/>
  <c r="I118" i="57" a="1"/>
  <c r="I118" i="57" s="1"/>
  <c r="J118" i="57" a="1"/>
  <c r="J118" i="57" s="1"/>
  <c r="G33" i="22"/>
  <c r="H119" i="57" s="1" a="1"/>
  <c r="H119" i="57" s="1"/>
  <c r="I119" i="57" a="1"/>
  <c r="I119" i="57" s="1"/>
  <c r="J119" i="57" a="1"/>
  <c r="J119" i="57" s="1"/>
  <c r="G34" i="22"/>
  <c r="H120" i="57" s="1" a="1"/>
  <c r="H120" i="57" s="1"/>
  <c r="I120" i="57" a="1"/>
  <c r="I120" i="57" s="1"/>
  <c r="J120" i="57" a="1"/>
  <c r="J120" i="57" s="1"/>
  <c r="G35" i="22"/>
  <c r="H121" i="57" s="1" a="1"/>
  <c r="H121" i="57" s="1"/>
  <c r="I121" i="57" a="1"/>
  <c r="I121" i="57" s="1"/>
  <c r="J121" i="57" a="1"/>
  <c r="J121" i="57" s="1"/>
  <c r="G36" i="22"/>
  <c r="H122" i="57" s="1" a="1"/>
  <c r="H122" i="57" s="1"/>
  <c r="I122" i="57" a="1"/>
  <c r="I122" i="57" s="1"/>
  <c r="J122" i="57" a="1"/>
  <c r="J122" i="57" s="1"/>
  <c r="G37" i="22"/>
  <c r="H123" i="57" s="1" a="1"/>
  <c r="H123" i="57" s="1"/>
  <c r="I123" i="57" a="1"/>
  <c r="I123" i="57" s="1"/>
  <c r="J123" i="57" a="1"/>
  <c r="J123" i="57" s="1"/>
  <c r="G38" i="22"/>
  <c r="H124" i="57" s="1" a="1"/>
  <c r="H124" i="57" s="1"/>
  <c r="I124" i="57" a="1"/>
  <c r="I124" i="57" s="1"/>
  <c r="J124" i="57" a="1"/>
  <c r="J124" i="57" s="1"/>
  <c r="G39" i="22"/>
  <c r="H125" i="57" s="1" a="1"/>
  <c r="H125" i="57" s="1"/>
  <c r="I125" i="57" a="1"/>
  <c r="I125" i="57" s="1"/>
  <c r="J125" i="57" a="1"/>
  <c r="J125" i="57" s="1"/>
  <c r="G40" i="22"/>
  <c r="H126" i="57" s="1" a="1"/>
  <c r="H126" i="57" s="1"/>
  <c r="I126" i="57" a="1"/>
  <c r="I126" i="57" s="1"/>
  <c r="J126" i="57" a="1"/>
  <c r="J126" i="57" s="1"/>
  <c r="G41" i="22"/>
  <c r="H127" i="57" s="1" a="1"/>
  <c r="H127" i="57" s="1"/>
  <c r="I127" i="57" a="1"/>
  <c r="I127" i="57" s="1"/>
  <c r="J127" i="57" a="1"/>
  <c r="J127" i="57" s="1"/>
  <c r="G42" i="22"/>
  <c r="H128" i="57" s="1" a="1"/>
  <c r="H128" i="57" s="1"/>
  <c r="I128" i="57" a="1"/>
  <c r="I128" i="57" s="1"/>
  <c r="J128" i="57" a="1"/>
  <c r="J128" i="57" s="1"/>
  <c r="G43" i="22"/>
  <c r="H129" i="57" s="1" a="1"/>
  <c r="H129" i="57" s="1"/>
  <c r="I129" i="57" a="1"/>
  <c r="I129" i="57" s="1"/>
  <c r="J129" i="57" a="1"/>
  <c r="J129" i="57" s="1"/>
  <c r="G44" i="22"/>
  <c r="H130" i="57" s="1" a="1"/>
  <c r="H130" i="57" s="1"/>
  <c r="I130" i="57" a="1"/>
  <c r="I130" i="57" s="1"/>
  <c r="J130" i="57" a="1"/>
  <c r="J130" i="57" s="1"/>
  <c r="I131" i="57" a="1"/>
  <c r="I131" i="57" s="1"/>
  <c r="J131" i="57" a="1"/>
  <c r="J131" i="57" s="1"/>
  <c r="G46" i="22"/>
  <c r="H132" i="57" s="1" a="1"/>
  <c r="H132" i="57" s="1"/>
  <c r="I132" i="57" a="1"/>
  <c r="I132" i="57" s="1"/>
  <c r="J132" i="57" a="1"/>
  <c r="J132" i="57" s="1"/>
  <c r="G47" i="22"/>
  <c r="H133" i="57" s="1" a="1"/>
  <c r="H133" i="57" s="1"/>
  <c r="I133" i="57" a="1"/>
  <c r="I133" i="57" s="1"/>
  <c r="J133" i="57" a="1"/>
  <c r="J133" i="57" s="1"/>
  <c r="G48" i="22"/>
  <c r="H134" i="57" s="1" a="1"/>
  <c r="H134" i="57" s="1"/>
  <c r="I134" i="57" a="1"/>
  <c r="I134" i="57" s="1"/>
  <c r="J134" i="57" a="1"/>
  <c r="J134" i="57" s="1"/>
  <c r="G49" i="22"/>
  <c r="H135" i="57" s="1" a="1"/>
  <c r="H135" i="57" s="1"/>
  <c r="I135" i="57" a="1"/>
  <c r="I135" i="57" s="1"/>
  <c r="J135" i="57" a="1"/>
  <c r="J135" i="57" s="1"/>
  <c r="G50" i="22"/>
  <c r="H136" i="57" s="1" a="1"/>
  <c r="H136" i="57" s="1"/>
  <c r="I136" i="57" a="1"/>
  <c r="I136" i="57" s="1"/>
  <c r="J136" i="57" a="1"/>
  <c r="J136" i="57" s="1"/>
  <c r="G51" i="22"/>
  <c r="H137" i="57" s="1" a="1"/>
  <c r="H137" i="57" s="1"/>
  <c r="I137" i="57" a="1"/>
  <c r="I137" i="57" s="1"/>
  <c r="J137" i="57" a="1"/>
  <c r="J137" i="57" s="1"/>
  <c r="G52" i="22"/>
  <c r="H138" i="57" s="1" a="1"/>
  <c r="H138" i="57" s="1"/>
  <c r="I138" i="57" a="1"/>
  <c r="I138" i="57" s="1"/>
  <c r="J138" i="57" a="1"/>
  <c r="J138" i="57" s="1"/>
  <c r="G53" i="22"/>
  <c r="H139" i="57" s="1" a="1"/>
  <c r="H139" i="57" s="1"/>
  <c r="I139" i="57" a="1"/>
  <c r="I139" i="57" s="1"/>
  <c r="J139" i="57" a="1"/>
  <c r="J139" i="57" s="1"/>
  <c r="G54" i="22"/>
  <c r="H140" i="57" s="1" a="1"/>
  <c r="H140" i="57" s="1"/>
  <c r="I140" i="57" a="1"/>
  <c r="I140" i="57" s="1"/>
  <c r="J140" i="57" a="1"/>
  <c r="J140" i="57" s="1"/>
  <c r="G55" i="22"/>
  <c r="H141" i="57" s="1" a="1"/>
  <c r="H141" i="57" s="1"/>
  <c r="I141" i="57" a="1"/>
  <c r="I141" i="57" s="1"/>
  <c r="J141" i="57" a="1"/>
  <c r="J141" i="57" s="1"/>
  <c r="G56" i="22"/>
  <c r="H142" i="57" s="1" a="1"/>
  <c r="H142" i="57" s="1"/>
  <c r="I142" i="57" a="1"/>
  <c r="I142" i="57" s="1"/>
  <c r="J142" i="57" a="1"/>
  <c r="J142" i="57" s="1"/>
  <c r="G57" i="22"/>
  <c r="H143" i="57" s="1" a="1"/>
  <c r="H143" i="57" s="1"/>
  <c r="I143" i="57" a="1"/>
  <c r="I143" i="57" s="1"/>
  <c r="J143" i="57" a="1"/>
  <c r="J143" i="57" s="1"/>
  <c r="G58" i="22"/>
  <c r="H144" i="57" s="1" a="1"/>
  <c r="H144" i="57" s="1"/>
  <c r="I144" i="57" a="1"/>
  <c r="I144" i="57" s="1"/>
  <c r="J144" i="57" a="1"/>
  <c r="J144" i="57" s="1"/>
  <c r="G59" i="22"/>
  <c r="H145" i="57" s="1" a="1"/>
  <c r="H145" i="57" s="1"/>
  <c r="I145" i="57" a="1"/>
  <c r="I145" i="57" s="1"/>
  <c r="J145" i="57" a="1"/>
  <c r="J145" i="57" s="1"/>
  <c r="G60" i="22"/>
  <c r="H146" i="57" s="1" a="1"/>
  <c r="H146" i="57" s="1"/>
  <c r="I146" i="57" a="1"/>
  <c r="I146" i="57" s="1"/>
  <c r="J146" i="57" a="1"/>
  <c r="J146" i="57" s="1"/>
  <c r="I147" i="57" a="1"/>
  <c r="I147" i="57" s="1"/>
  <c r="J147" i="57" a="1"/>
  <c r="J147" i="57" s="1"/>
  <c r="J93" i="57" a="1"/>
  <c r="J93" i="57" s="1"/>
  <c r="I93" i="57" a="1"/>
  <c r="I93" i="57" s="1"/>
  <c r="G7" i="22"/>
  <c r="H93" i="57" s="1" a="1"/>
  <c r="H93" i="57" s="1"/>
  <c r="L67" i="21"/>
  <c r="M67" i="21"/>
  <c r="C16" i="48"/>
  <c r="F67" i="21" s="1"/>
  <c r="N67" i="21" s="1"/>
  <c r="O67" i="21"/>
  <c r="P67" i="21"/>
  <c r="Q67" i="21"/>
  <c r="R67" i="21"/>
  <c r="N5" i="25"/>
  <c r="P5" i="25" s="1"/>
  <c r="M13" i="21"/>
  <c r="N13" i="21"/>
  <c r="J52" i="57" a="1"/>
  <c r="J52" i="57" s="1"/>
  <c r="M14" i="21"/>
  <c r="N14" i="21"/>
  <c r="J53" i="57" a="1"/>
  <c r="J53" i="57" s="1"/>
  <c r="N5" i="26"/>
  <c r="Q5" i="26" s="1"/>
  <c r="N6" i="26"/>
  <c r="Q6" i="26" s="1"/>
  <c r="M15" i="21"/>
  <c r="N15" i="21"/>
  <c r="U15" i="21"/>
  <c r="I54" i="57" s="1" a="1"/>
  <c r="I54" i="57" s="1"/>
  <c r="J54" i="57" a="1"/>
  <c r="J54" i="57" s="1"/>
  <c r="M16" i="21"/>
  <c r="N16" i="21"/>
  <c r="U16" i="21"/>
  <c r="I55" i="57" s="1" a="1"/>
  <c r="I55" i="57" s="1"/>
  <c r="J55" i="57" a="1"/>
  <c r="J55" i="57" s="1"/>
  <c r="M17" i="21"/>
  <c r="N17" i="21"/>
  <c r="U17" i="21"/>
  <c r="I56" i="57" s="1" a="1"/>
  <c r="I56" i="57" s="1"/>
  <c r="J56" i="57" a="1"/>
  <c r="J56" i="57" s="1"/>
  <c r="L54" i="28"/>
  <c r="L55" i="28"/>
  <c r="N54" i="28"/>
  <c r="N55" i="28"/>
  <c r="M18" i="21"/>
  <c r="N18" i="21"/>
  <c r="U18" i="21"/>
  <c r="I57" i="57" s="1" a="1"/>
  <c r="I57" i="57" s="1"/>
  <c r="J57" i="57" a="1"/>
  <c r="J57" i="57" s="1"/>
  <c r="M19" i="21"/>
  <c r="N19" i="21"/>
  <c r="J58" i="57" a="1"/>
  <c r="J58" i="57" s="1"/>
  <c r="M20" i="21"/>
  <c r="N20" i="21"/>
  <c r="J59" i="57" a="1"/>
  <c r="J59" i="57" s="1"/>
  <c r="D21" i="21"/>
  <c r="L21" i="21" s="1"/>
  <c r="O11" i="47"/>
  <c r="E23" i="21" s="1"/>
  <c r="M23" i="21" s="1"/>
  <c r="N21" i="21"/>
  <c r="J60" i="57" a="1"/>
  <c r="J60" i="57" s="1"/>
  <c r="D22" i="21"/>
  <c r="L22" i="21" s="1"/>
  <c r="N22" i="21"/>
  <c r="J61" i="57" a="1"/>
  <c r="J61" i="57" s="1"/>
  <c r="D23" i="21"/>
  <c r="L23" i="21" s="1"/>
  <c r="N23" i="21"/>
  <c r="U23" i="21"/>
  <c r="I62" i="57" s="1" a="1"/>
  <c r="I62" i="57" s="1"/>
  <c r="J62" i="57" a="1"/>
  <c r="J62" i="57" s="1"/>
  <c r="D31" i="21"/>
  <c r="L31" i="21" s="1"/>
  <c r="M31" i="21"/>
  <c r="N31" i="21"/>
  <c r="O31" i="21"/>
  <c r="P31" i="21"/>
  <c r="Q31" i="21"/>
  <c r="R31" i="21"/>
  <c r="J63" i="57" a="1"/>
  <c r="J63" i="57" s="1"/>
  <c r="D32" i="21"/>
  <c r="L32" i="21" s="1"/>
  <c r="M32" i="21"/>
  <c r="N32" i="21"/>
  <c r="O32" i="21"/>
  <c r="P32" i="21"/>
  <c r="Q32" i="21"/>
  <c r="R32" i="21"/>
  <c r="J64" i="57" a="1"/>
  <c r="J64" i="57" s="1"/>
  <c r="D33" i="21"/>
  <c r="L33" i="21" s="1"/>
  <c r="M33" i="21"/>
  <c r="N33" i="21"/>
  <c r="O33" i="21"/>
  <c r="P33" i="21"/>
  <c r="Q33" i="21"/>
  <c r="R33" i="21"/>
  <c r="U33" i="21"/>
  <c r="I65" i="57" s="1" a="1"/>
  <c r="I65" i="57" s="1"/>
  <c r="J65" i="57" a="1"/>
  <c r="J65" i="57" s="1"/>
  <c r="D34" i="21"/>
  <c r="L34" i="21" s="1"/>
  <c r="M34" i="21"/>
  <c r="N34" i="21"/>
  <c r="O34" i="21"/>
  <c r="P34" i="21"/>
  <c r="Q34" i="21"/>
  <c r="R34" i="21"/>
  <c r="U34" i="21"/>
  <c r="I66" i="57" s="1" a="1"/>
  <c r="I66" i="57" s="1"/>
  <c r="J66" i="57" a="1"/>
  <c r="J66" i="57" s="1"/>
  <c r="D35" i="21"/>
  <c r="L35" i="21" s="1"/>
  <c r="M35" i="21"/>
  <c r="N35" i="21"/>
  <c r="O35" i="21"/>
  <c r="P35" i="21"/>
  <c r="Q35" i="21"/>
  <c r="R35" i="21"/>
  <c r="U35" i="21"/>
  <c r="I67" i="57" s="1" a="1"/>
  <c r="I67" i="57" s="1"/>
  <c r="J67" i="57" a="1"/>
  <c r="J67" i="57" s="1"/>
  <c r="D36" i="21"/>
  <c r="L36" i="21" s="1"/>
  <c r="M36" i="21"/>
  <c r="N36" i="21"/>
  <c r="O36" i="21"/>
  <c r="P36" i="21"/>
  <c r="Q36" i="21"/>
  <c r="R36" i="21"/>
  <c r="J68" i="57" a="1"/>
  <c r="J68" i="57" s="1"/>
  <c r="D37" i="21"/>
  <c r="L37" i="21" s="1"/>
  <c r="M37" i="21"/>
  <c r="N37" i="21"/>
  <c r="O37" i="21"/>
  <c r="P37" i="21"/>
  <c r="Q37" i="21"/>
  <c r="R37" i="21"/>
  <c r="U37" i="21"/>
  <c r="I69" i="57" s="1" a="1"/>
  <c r="I69" i="57" s="1"/>
  <c r="J69" i="57" a="1"/>
  <c r="J69" i="57" s="1"/>
  <c r="D38" i="21"/>
  <c r="L38" i="21" s="1"/>
  <c r="M38" i="21"/>
  <c r="N38" i="21"/>
  <c r="O38" i="21"/>
  <c r="P38" i="21"/>
  <c r="Q38" i="21"/>
  <c r="R38" i="21"/>
  <c r="J70" i="57" a="1"/>
  <c r="J70" i="57" s="1"/>
  <c r="D39" i="21"/>
  <c r="L39" i="21" s="1"/>
  <c r="M39" i="21"/>
  <c r="N39" i="21"/>
  <c r="O39" i="21"/>
  <c r="P39" i="21"/>
  <c r="Q39" i="21"/>
  <c r="R39" i="21"/>
  <c r="J71" i="57" a="1"/>
  <c r="J71" i="57" s="1"/>
  <c r="D40" i="21"/>
  <c r="L40" i="21" s="1"/>
  <c r="M40" i="21"/>
  <c r="N40" i="21"/>
  <c r="O40" i="21"/>
  <c r="P40" i="21"/>
  <c r="Q40" i="21"/>
  <c r="R40" i="21"/>
  <c r="J72" i="57" a="1"/>
  <c r="J72" i="57" s="1"/>
  <c r="D41" i="21"/>
  <c r="L41" i="21" s="1"/>
  <c r="M41" i="21"/>
  <c r="N41" i="21"/>
  <c r="O41" i="21"/>
  <c r="P41" i="21"/>
  <c r="Q41" i="21"/>
  <c r="R41" i="21"/>
  <c r="U41" i="21"/>
  <c r="I73" i="57" s="1" a="1"/>
  <c r="I73" i="57" s="1"/>
  <c r="J73" i="57" a="1"/>
  <c r="J73" i="57" s="1"/>
  <c r="D42" i="21"/>
  <c r="L42" i="21" s="1"/>
  <c r="M42" i="21"/>
  <c r="N42" i="21"/>
  <c r="O42" i="21"/>
  <c r="P42" i="21"/>
  <c r="Q42" i="21"/>
  <c r="R42" i="21"/>
  <c r="U42" i="21"/>
  <c r="I74" i="57" s="1" a="1"/>
  <c r="I74" i="57" s="1"/>
  <c r="J74" i="57" a="1"/>
  <c r="J74" i="57" s="1"/>
  <c r="D43" i="21"/>
  <c r="L43" i="21" s="1"/>
  <c r="M43" i="21"/>
  <c r="N43" i="21"/>
  <c r="O43" i="21"/>
  <c r="P43" i="21"/>
  <c r="Q43" i="21"/>
  <c r="R43" i="21"/>
  <c r="U43" i="21"/>
  <c r="I75" i="57" s="1" a="1"/>
  <c r="I75" i="57" s="1"/>
  <c r="J75" i="57" a="1"/>
  <c r="J75" i="57" s="1"/>
  <c r="D44" i="21"/>
  <c r="L44" i="21" s="1"/>
  <c r="M44" i="21"/>
  <c r="N44" i="21"/>
  <c r="O44" i="21"/>
  <c r="P44" i="21"/>
  <c r="Q44" i="21"/>
  <c r="R44" i="21"/>
  <c r="I76" i="57" a="1"/>
  <c r="I76" i="57" s="1"/>
  <c r="J76" i="57" a="1"/>
  <c r="J76" i="57" s="1"/>
  <c r="D45" i="21"/>
  <c r="L45" i="21" s="1"/>
  <c r="M45" i="21"/>
  <c r="N45" i="21"/>
  <c r="O45" i="21"/>
  <c r="P45" i="21"/>
  <c r="Q45" i="21"/>
  <c r="R45" i="21"/>
  <c r="J77" i="57" a="1"/>
  <c r="J77" i="57" s="1"/>
  <c r="L53" i="21"/>
  <c r="M53" i="21"/>
  <c r="C12" i="48"/>
  <c r="F54" i="21" s="1"/>
  <c r="N54" i="21" s="1"/>
  <c r="O53" i="21"/>
  <c r="P53" i="21"/>
  <c r="Q53" i="21"/>
  <c r="R53" i="21"/>
  <c r="J78" i="57" a="1"/>
  <c r="J78" i="57" s="1"/>
  <c r="L54" i="21"/>
  <c r="M54" i="21"/>
  <c r="O54" i="21"/>
  <c r="P54" i="21"/>
  <c r="Q54" i="21"/>
  <c r="R54" i="21"/>
  <c r="U54" i="21"/>
  <c r="I79" i="57" s="1" a="1"/>
  <c r="I79" i="57" s="1"/>
  <c r="J79" i="57" a="1"/>
  <c r="J79" i="57" s="1"/>
  <c r="L55" i="21"/>
  <c r="M55" i="21"/>
  <c r="O55" i="21"/>
  <c r="P55" i="21"/>
  <c r="Q55" i="21"/>
  <c r="R55" i="21"/>
  <c r="U55" i="21"/>
  <c r="I80" i="57" s="1" a="1"/>
  <c r="I80" i="57" s="1"/>
  <c r="J80" i="57" a="1"/>
  <c r="J80" i="57" s="1"/>
  <c r="L56" i="21"/>
  <c r="M56" i="21"/>
  <c r="C13" i="48"/>
  <c r="F57" i="21" s="1"/>
  <c r="N57" i="21" s="1"/>
  <c r="O56" i="21"/>
  <c r="P56" i="21"/>
  <c r="Q56" i="21"/>
  <c r="R56" i="21"/>
  <c r="U56" i="21"/>
  <c r="I81" i="57" s="1" a="1"/>
  <c r="I81" i="57" s="1"/>
  <c r="J81" i="57" a="1"/>
  <c r="J81" i="57" s="1"/>
  <c r="L57" i="21"/>
  <c r="M57" i="21"/>
  <c r="O57" i="21"/>
  <c r="P57" i="21"/>
  <c r="Q57" i="21"/>
  <c r="R57" i="21"/>
  <c r="U57" i="21"/>
  <c r="I82" i="57" s="1" a="1"/>
  <c r="I82" i="57" s="1"/>
  <c r="J82" i="57" a="1"/>
  <c r="J82" i="57" s="1"/>
  <c r="L58" i="21"/>
  <c r="M58" i="21"/>
  <c r="O58" i="21"/>
  <c r="P58" i="21"/>
  <c r="Q58" i="21"/>
  <c r="R58" i="21"/>
  <c r="U58" i="21"/>
  <c r="I83" i="57" s="1" a="1"/>
  <c r="I83" i="57" s="1"/>
  <c r="J83" i="57" a="1"/>
  <c r="J83" i="57" s="1"/>
  <c r="L59" i="21"/>
  <c r="M59" i="21"/>
  <c r="C14" i="48"/>
  <c r="F60" i="21" s="1"/>
  <c r="N60" i="21" s="1"/>
  <c r="O59" i="21"/>
  <c r="P59" i="21"/>
  <c r="Q59" i="21"/>
  <c r="R59" i="21"/>
  <c r="U59" i="21"/>
  <c r="I84" i="57" s="1" a="1"/>
  <c r="I84" i="57" s="1"/>
  <c r="J84" i="57" a="1"/>
  <c r="J84" i="57" s="1"/>
  <c r="L60" i="21"/>
  <c r="M60" i="21"/>
  <c r="O60" i="21"/>
  <c r="P60" i="21"/>
  <c r="Q60" i="21"/>
  <c r="R60" i="21"/>
  <c r="J85" i="57" a="1"/>
  <c r="J85" i="57" s="1"/>
  <c r="L61" i="21"/>
  <c r="M61" i="21"/>
  <c r="O61" i="21"/>
  <c r="P61" i="21"/>
  <c r="Q61" i="21"/>
  <c r="R61" i="21"/>
  <c r="U61" i="21"/>
  <c r="I86" i="57" s="1" a="1"/>
  <c r="I86" i="57" s="1"/>
  <c r="J86" i="57" a="1"/>
  <c r="J86" i="57" s="1"/>
  <c r="L62" i="21"/>
  <c r="M62" i="21"/>
  <c r="C15" i="48"/>
  <c r="O62" i="21"/>
  <c r="P62" i="21"/>
  <c r="Q62" i="21"/>
  <c r="R62" i="21"/>
  <c r="U62" i="21"/>
  <c r="I87" i="57" s="1" a="1"/>
  <c r="I87" i="57" s="1"/>
  <c r="J87" i="57" a="1"/>
  <c r="J87" i="57" s="1"/>
  <c r="L63" i="21"/>
  <c r="M63" i="21"/>
  <c r="O63" i="21"/>
  <c r="P63" i="21"/>
  <c r="Q63" i="21"/>
  <c r="R63" i="21"/>
  <c r="U63" i="21"/>
  <c r="I88" i="57" s="1" a="1"/>
  <c r="I88" i="57" s="1"/>
  <c r="J88" i="57" a="1"/>
  <c r="J88" i="57" s="1"/>
  <c r="L64" i="21"/>
  <c r="M64" i="21"/>
  <c r="O64" i="21"/>
  <c r="P64" i="21"/>
  <c r="Q64" i="21"/>
  <c r="R64" i="21"/>
  <c r="U64" i="21"/>
  <c r="I89" i="57" s="1" a="1"/>
  <c r="I89" i="57" s="1"/>
  <c r="J89" i="57" a="1"/>
  <c r="J89" i="57" s="1"/>
  <c r="L65" i="21"/>
  <c r="M65" i="21"/>
  <c r="O65" i="21"/>
  <c r="P65" i="21"/>
  <c r="Q65" i="21"/>
  <c r="R65" i="21"/>
  <c r="U65" i="21"/>
  <c r="I90" i="57" s="1" a="1"/>
  <c r="I90" i="57" s="1"/>
  <c r="J90" i="57" a="1"/>
  <c r="J90" i="57" s="1"/>
  <c r="L66" i="21"/>
  <c r="M66" i="21"/>
  <c r="O66" i="21"/>
  <c r="P66" i="21"/>
  <c r="Q66" i="21"/>
  <c r="R66" i="21"/>
  <c r="J91" i="57" a="1"/>
  <c r="J91" i="57" s="1"/>
  <c r="J92" i="57" a="1"/>
  <c r="J92" i="57" s="1"/>
  <c r="J51" i="57" a="1"/>
  <c r="J51" i="57" s="1"/>
  <c r="M12" i="21"/>
  <c r="N12" i="21"/>
  <c r="C3" i="6"/>
  <c r="H24" i="6"/>
  <c r="M24" i="6"/>
  <c r="O24" i="6" s="1"/>
  <c r="K24" i="6"/>
  <c r="C4" i="6"/>
  <c r="I24" i="6"/>
  <c r="C5" i="6"/>
  <c r="J24" i="6"/>
  <c r="S24" i="6"/>
  <c r="AA24" i="6" s="1"/>
  <c r="H17" i="6"/>
  <c r="M17" i="6"/>
  <c r="O17" i="6" s="1"/>
  <c r="K17" i="6"/>
  <c r="I17" i="6"/>
  <c r="J17" i="6"/>
  <c r="S17" i="6"/>
  <c r="W17" i="6" s="1"/>
  <c r="AC17" i="6"/>
  <c r="I43" i="57" s="1" a="1"/>
  <c r="I43" i="57" s="1"/>
  <c r="J43" i="57" a="1"/>
  <c r="J43" i="57" s="1"/>
  <c r="K43" i="57" a="1"/>
  <c r="K43" i="57" s="1"/>
  <c r="L43" i="57" a="1"/>
  <c r="L43" i="57" s="1"/>
  <c r="H18" i="6"/>
  <c r="M18" i="6"/>
  <c r="O18" i="6" s="1"/>
  <c r="K18" i="6"/>
  <c r="I18" i="6"/>
  <c r="J18" i="6"/>
  <c r="S18" i="6"/>
  <c r="AA18" i="6" s="1"/>
  <c r="AC18" i="6"/>
  <c r="I44" i="57" s="1" a="1"/>
  <c r="I44" i="57" s="1"/>
  <c r="J44" i="57" a="1"/>
  <c r="J44" i="57" s="1"/>
  <c r="K44" i="57" a="1"/>
  <c r="K44" i="57" s="1"/>
  <c r="L44" i="57" a="1"/>
  <c r="L44" i="57" s="1"/>
  <c r="H19" i="6"/>
  <c r="M19" i="6"/>
  <c r="O19" i="6" s="1"/>
  <c r="K19" i="6"/>
  <c r="I19" i="6"/>
  <c r="J19" i="6"/>
  <c r="S19" i="6"/>
  <c r="AA19" i="6" s="1"/>
  <c r="AC19" i="6"/>
  <c r="I45" i="57" s="1" a="1"/>
  <c r="I45" i="57" s="1"/>
  <c r="J45" i="57" a="1"/>
  <c r="J45" i="57" s="1"/>
  <c r="K45" i="57" a="1"/>
  <c r="K45" i="57" s="1"/>
  <c r="L45" i="57" a="1"/>
  <c r="L45" i="57" s="1"/>
  <c r="H20" i="6"/>
  <c r="M20" i="6"/>
  <c r="O20" i="6" s="1"/>
  <c r="R20" i="6" s="1"/>
  <c r="I20" i="6"/>
  <c r="J20" i="6"/>
  <c r="S20" i="6"/>
  <c r="AC20" i="6"/>
  <c r="I46" i="57" s="1" a="1"/>
  <c r="I46" i="57" s="1"/>
  <c r="J46" i="57" a="1"/>
  <c r="J46" i="57" s="1"/>
  <c r="K46" i="57" a="1"/>
  <c r="K46" i="57" s="1"/>
  <c r="L46" i="57" a="1"/>
  <c r="L46" i="57" s="1"/>
  <c r="H21" i="6"/>
  <c r="M21" i="6"/>
  <c r="O21" i="6" s="1"/>
  <c r="K21" i="6"/>
  <c r="I21" i="6"/>
  <c r="J21" i="6"/>
  <c r="S21" i="6"/>
  <c r="W21" i="6" s="1"/>
  <c r="AC21" i="6"/>
  <c r="I47" i="57" s="1" a="1"/>
  <c r="I47" i="57" s="1"/>
  <c r="J47" i="57" a="1"/>
  <c r="J47" i="57" s="1"/>
  <c r="K47" i="57" a="1"/>
  <c r="K47" i="57" s="1"/>
  <c r="L47" i="57" a="1"/>
  <c r="L47" i="57" s="1"/>
  <c r="H22" i="6"/>
  <c r="M22" i="6"/>
  <c r="O22" i="6" s="1"/>
  <c r="K22" i="6"/>
  <c r="I22" i="6"/>
  <c r="J22" i="6"/>
  <c r="S22" i="6"/>
  <c r="W22" i="6" s="1"/>
  <c r="AC22" i="6"/>
  <c r="I48" i="57" s="1" a="1"/>
  <c r="I48" i="57" s="1"/>
  <c r="J48" i="57" a="1"/>
  <c r="J48" i="57" s="1"/>
  <c r="K48" i="57" a="1"/>
  <c r="K48" i="57" s="1"/>
  <c r="L48" i="57" a="1"/>
  <c r="L48" i="57" s="1"/>
  <c r="H23" i="6"/>
  <c r="M23" i="6"/>
  <c r="O23" i="6" s="1"/>
  <c r="K23" i="6"/>
  <c r="I23" i="6"/>
  <c r="J23" i="6"/>
  <c r="S23" i="6"/>
  <c r="W23" i="6" s="1"/>
  <c r="AC23" i="6"/>
  <c r="I49" i="57" s="1" a="1"/>
  <c r="I49" i="57" s="1"/>
  <c r="J49" i="57" a="1"/>
  <c r="J49" i="57" s="1"/>
  <c r="K49" i="57" a="1"/>
  <c r="K49" i="57" s="1"/>
  <c r="L49" i="57" a="1"/>
  <c r="L49" i="57" s="1"/>
  <c r="AC24" i="6"/>
  <c r="I50" i="57" s="1" a="1"/>
  <c r="I50" i="57" s="1"/>
  <c r="J50" i="57" a="1"/>
  <c r="J50" i="57" s="1"/>
  <c r="K50" i="57" a="1"/>
  <c r="K50" i="57" s="1"/>
  <c r="L50" i="57" a="1"/>
  <c r="L50" i="57" s="1"/>
  <c r="L42" i="57" a="1"/>
  <c r="L42" i="57" s="1"/>
  <c r="K42" i="57" a="1"/>
  <c r="K42" i="57" s="1"/>
  <c r="J42" i="57" a="1"/>
  <c r="J42" i="57" s="1"/>
  <c r="AC16" i="6"/>
  <c r="I42" i="57" s="1" a="1"/>
  <c r="I42" i="57" s="1"/>
  <c r="H16" i="6"/>
  <c r="M16" i="6"/>
  <c r="O16" i="6" s="1"/>
  <c r="K16" i="6"/>
  <c r="I16" i="6"/>
  <c r="J16" i="6"/>
  <c r="S16" i="6"/>
  <c r="W16" i="6" s="1"/>
  <c r="C3" i="2"/>
  <c r="H48" i="2"/>
  <c r="M48" i="2"/>
  <c r="O48" i="2" s="1"/>
  <c r="K48" i="2"/>
  <c r="I48" i="2"/>
  <c r="C4" i="2"/>
  <c r="J48" i="2"/>
  <c r="C5" i="2"/>
  <c r="S48" i="2"/>
  <c r="W48" i="2" s="1"/>
  <c r="H17" i="2"/>
  <c r="M17" i="2"/>
  <c r="O17" i="2" s="1"/>
  <c r="K17" i="2"/>
  <c r="I17" i="2"/>
  <c r="J17" i="2"/>
  <c r="S17" i="2"/>
  <c r="W17" i="2" s="1"/>
  <c r="AC17" i="2"/>
  <c r="I10" i="57" s="1" a="1"/>
  <c r="I10" i="57" s="1"/>
  <c r="J10" i="57" a="1"/>
  <c r="J10" i="57" s="1"/>
  <c r="K10" i="57" a="1"/>
  <c r="K10" i="57" s="1"/>
  <c r="L10" i="57" a="1"/>
  <c r="L10" i="57" s="1"/>
  <c r="H18" i="2"/>
  <c r="M18" i="2"/>
  <c r="O18" i="2" s="1"/>
  <c r="R18" i="2" s="1"/>
  <c r="I18" i="2"/>
  <c r="J18" i="2"/>
  <c r="N18" i="2"/>
  <c r="S18" i="2" s="1"/>
  <c r="AC18" i="2"/>
  <c r="I11" i="57" s="1" a="1"/>
  <c r="I11" i="57" s="1"/>
  <c r="J11" i="57" a="1"/>
  <c r="J11" i="57" s="1"/>
  <c r="K11" i="57" a="1"/>
  <c r="K11" i="57" s="1"/>
  <c r="L11" i="57" a="1"/>
  <c r="L11" i="57" s="1"/>
  <c r="H19" i="2"/>
  <c r="M19" i="2"/>
  <c r="O19" i="2" s="1"/>
  <c r="R19" i="2" s="1"/>
  <c r="I19" i="2"/>
  <c r="J19" i="2"/>
  <c r="N19" i="2"/>
  <c r="S19" i="2" s="1"/>
  <c r="AC19" i="2"/>
  <c r="I12" i="57" s="1" a="1"/>
  <c r="I12" i="57" s="1"/>
  <c r="J12" i="57" a="1"/>
  <c r="J12" i="57" s="1"/>
  <c r="K12" i="57" a="1"/>
  <c r="K12" i="57" s="1"/>
  <c r="L12" i="57" a="1"/>
  <c r="L12" i="57" s="1"/>
  <c r="H20" i="2"/>
  <c r="M20" i="2"/>
  <c r="O20" i="2" s="1"/>
  <c r="R20" i="2" s="1"/>
  <c r="I20" i="2"/>
  <c r="J20" i="2"/>
  <c r="N20" i="2"/>
  <c r="S20" i="2" s="1"/>
  <c r="W20" i="2" s="1"/>
  <c r="AC20" i="2"/>
  <c r="I13" i="57" s="1" a="1"/>
  <c r="I13" i="57" s="1"/>
  <c r="J13" i="57" a="1"/>
  <c r="J13" i="57" s="1"/>
  <c r="K13" i="57" a="1"/>
  <c r="K13" i="57" s="1"/>
  <c r="L13" i="57" a="1"/>
  <c r="L13" i="57" s="1"/>
  <c r="H21" i="2"/>
  <c r="M21" i="2"/>
  <c r="O21" i="2" s="1"/>
  <c r="R21" i="2" s="1"/>
  <c r="I21" i="2"/>
  <c r="J21" i="2"/>
  <c r="N21" i="2"/>
  <c r="P21" i="2" s="1"/>
  <c r="AC21" i="2"/>
  <c r="I14" i="57" s="1" a="1"/>
  <c r="I14" i="57" s="1"/>
  <c r="J14" i="57" a="1"/>
  <c r="J14" i="57" s="1"/>
  <c r="K14" i="57" a="1"/>
  <c r="K14" i="57" s="1"/>
  <c r="L14" i="57" a="1"/>
  <c r="L14" i="57" s="1"/>
  <c r="H22" i="2"/>
  <c r="M22" i="2"/>
  <c r="O22" i="2" s="1"/>
  <c r="R22" i="2" s="1"/>
  <c r="I22" i="2"/>
  <c r="J22" i="2"/>
  <c r="N22" i="2"/>
  <c r="S22" i="2" s="1"/>
  <c r="AA22" i="2" s="1"/>
  <c r="AC22" i="2"/>
  <c r="I15" i="57" s="1" a="1"/>
  <c r="I15" i="57" s="1"/>
  <c r="J15" i="57" a="1"/>
  <c r="J15" i="57" s="1"/>
  <c r="K15" i="57" a="1"/>
  <c r="K15" i="57" s="1"/>
  <c r="L15" i="57" a="1"/>
  <c r="L15" i="57" s="1"/>
  <c r="H23" i="2"/>
  <c r="M23" i="2"/>
  <c r="O23" i="2" s="1"/>
  <c r="R23" i="2" s="1"/>
  <c r="I23" i="2"/>
  <c r="J23" i="2"/>
  <c r="N23" i="2"/>
  <c r="AC23" i="2"/>
  <c r="I16" i="57" s="1" a="1"/>
  <c r="I16" i="57" s="1"/>
  <c r="J16" i="57" a="1"/>
  <c r="J16" i="57" s="1"/>
  <c r="K16" i="57" a="1"/>
  <c r="K16" i="57" s="1"/>
  <c r="L16" i="57" a="1"/>
  <c r="L16" i="57" s="1"/>
  <c r="H24" i="2"/>
  <c r="M24" i="2"/>
  <c r="O24" i="2" s="1"/>
  <c r="K24" i="2"/>
  <c r="I24" i="2"/>
  <c r="J24" i="2"/>
  <c r="S24" i="2"/>
  <c r="AA24" i="2" s="1"/>
  <c r="AC24" i="2"/>
  <c r="I17" i="57" s="1" a="1"/>
  <c r="I17" i="57" s="1"/>
  <c r="J17" i="57" a="1"/>
  <c r="J17" i="57" s="1"/>
  <c r="K17" i="57" a="1"/>
  <c r="K17" i="57" s="1"/>
  <c r="L17" i="57" a="1"/>
  <c r="L17" i="57" s="1"/>
  <c r="H25" i="2"/>
  <c r="M25" i="2"/>
  <c r="O25" i="2" s="1"/>
  <c r="K25" i="2"/>
  <c r="I25" i="2"/>
  <c r="J25" i="2"/>
  <c r="S25" i="2"/>
  <c r="W25" i="2" s="1"/>
  <c r="AC25" i="2"/>
  <c r="I18" i="57" s="1" a="1"/>
  <c r="I18" i="57" s="1"/>
  <c r="J18" i="57" a="1"/>
  <c r="J18" i="57" s="1"/>
  <c r="K18" i="57" a="1"/>
  <c r="K18" i="57" s="1"/>
  <c r="L18" i="57" a="1"/>
  <c r="L18" i="57" s="1"/>
  <c r="H26" i="2"/>
  <c r="M26" i="2"/>
  <c r="O26" i="2" s="1"/>
  <c r="R26" i="2" s="1"/>
  <c r="I26" i="2"/>
  <c r="J26" i="2"/>
  <c r="S26" i="2"/>
  <c r="AA26" i="2" s="1"/>
  <c r="AC26" i="2"/>
  <c r="I19" i="57" s="1" a="1"/>
  <c r="I19" i="57" s="1"/>
  <c r="J19" i="57" a="1"/>
  <c r="J19" i="57" s="1"/>
  <c r="K19" i="57" a="1"/>
  <c r="K19" i="57" s="1"/>
  <c r="L19" i="57" a="1"/>
  <c r="L19" i="57" s="1"/>
  <c r="H27" i="2"/>
  <c r="M27" i="2"/>
  <c r="O27" i="2" s="1"/>
  <c r="R27" i="2" s="1"/>
  <c r="I27" i="2"/>
  <c r="J27" i="2"/>
  <c r="S27" i="2"/>
  <c r="W27" i="2" s="1"/>
  <c r="AC27" i="2"/>
  <c r="I20" i="57" s="1" a="1"/>
  <c r="I20" i="57" s="1"/>
  <c r="J20" i="57" a="1"/>
  <c r="J20" i="57" s="1"/>
  <c r="K20" i="57" a="1"/>
  <c r="K20" i="57" s="1"/>
  <c r="L20" i="57" a="1"/>
  <c r="L20" i="57" s="1"/>
  <c r="H28" i="2"/>
  <c r="M28" i="2"/>
  <c r="O28" i="2" s="1"/>
  <c r="R28" i="2" s="1"/>
  <c r="I28" i="2"/>
  <c r="J28" i="2"/>
  <c r="S28" i="2"/>
  <c r="W28" i="2" s="1"/>
  <c r="AC28" i="2"/>
  <c r="I21" i="57" s="1" a="1"/>
  <c r="I21" i="57" s="1"/>
  <c r="J21" i="57" a="1"/>
  <c r="J21" i="57" s="1"/>
  <c r="K21" i="57" a="1"/>
  <c r="K21" i="57" s="1"/>
  <c r="L21" i="57" a="1"/>
  <c r="L21" i="57" s="1"/>
  <c r="H29" i="2"/>
  <c r="M29" i="2"/>
  <c r="O29" i="2" s="1"/>
  <c r="R29" i="2" s="1"/>
  <c r="I29" i="2"/>
  <c r="J29" i="2"/>
  <c r="N29" i="2"/>
  <c r="AC29" i="2"/>
  <c r="I22" i="57" s="1" a="1"/>
  <c r="I22" i="57" s="1"/>
  <c r="J22" i="57" a="1"/>
  <c r="J22" i="57" s="1"/>
  <c r="K22" i="57" a="1"/>
  <c r="K22" i="57" s="1"/>
  <c r="L22" i="57" a="1"/>
  <c r="L22" i="57" s="1"/>
  <c r="H30" i="2"/>
  <c r="M30" i="2"/>
  <c r="O30" i="2" s="1"/>
  <c r="R30" i="2" s="1"/>
  <c r="I30" i="2"/>
  <c r="J30" i="2"/>
  <c r="N30" i="2"/>
  <c r="P30" i="2" s="1"/>
  <c r="K30" i="2"/>
  <c r="AC30" i="2"/>
  <c r="I23" i="57" s="1" a="1"/>
  <c r="I23" i="57" s="1"/>
  <c r="J23" i="57" a="1"/>
  <c r="J23" i="57" s="1"/>
  <c r="K23" i="57" a="1"/>
  <c r="K23" i="57" s="1"/>
  <c r="L23" i="57" a="1"/>
  <c r="L23" i="57" s="1"/>
  <c r="H31" i="2"/>
  <c r="M31" i="2"/>
  <c r="O31" i="2" s="1"/>
  <c r="R31" i="2" s="1"/>
  <c r="I31" i="2"/>
  <c r="J31" i="2"/>
  <c r="N31" i="2"/>
  <c r="S31" i="2" s="1"/>
  <c r="W31" i="2" s="1"/>
  <c r="K31" i="2"/>
  <c r="AC31" i="2"/>
  <c r="I24" i="57" s="1" a="1"/>
  <c r="I24" i="57" s="1"/>
  <c r="J24" i="57" a="1"/>
  <c r="J24" i="57" s="1"/>
  <c r="K24" i="57" a="1"/>
  <c r="K24" i="57" s="1"/>
  <c r="L24" i="57" a="1"/>
  <c r="L24" i="57" s="1"/>
  <c r="H32" i="2"/>
  <c r="M32" i="2"/>
  <c r="O32" i="2" s="1"/>
  <c r="R32" i="2" s="1"/>
  <c r="I32" i="2"/>
  <c r="J32" i="2"/>
  <c r="N32" i="2"/>
  <c r="P32" i="2" s="1"/>
  <c r="K32" i="2"/>
  <c r="AC32" i="2"/>
  <c r="I25" i="57" s="1" a="1"/>
  <c r="I25" i="57" s="1"/>
  <c r="J25" i="57" a="1"/>
  <c r="J25" i="57" s="1"/>
  <c r="K25" i="57" a="1"/>
  <c r="K25" i="57" s="1"/>
  <c r="L25" i="57" a="1"/>
  <c r="L25" i="57" s="1"/>
  <c r="H33" i="2"/>
  <c r="M33" i="2"/>
  <c r="O33" i="2" s="1"/>
  <c r="R33" i="2" s="1"/>
  <c r="I33" i="2"/>
  <c r="J33" i="2"/>
  <c r="N33" i="2"/>
  <c r="P33" i="2" s="1"/>
  <c r="AC33" i="2"/>
  <c r="I26" i="57" s="1" a="1"/>
  <c r="I26" i="57" s="1"/>
  <c r="J26" i="57" a="1"/>
  <c r="J26" i="57" s="1"/>
  <c r="K26" i="57" a="1"/>
  <c r="K26" i="57" s="1"/>
  <c r="L26" i="57" a="1"/>
  <c r="L26" i="57" s="1"/>
  <c r="H34" i="2"/>
  <c r="M34" i="2"/>
  <c r="O34" i="2" s="1"/>
  <c r="R34" i="2" s="1"/>
  <c r="I34" i="2"/>
  <c r="J34" i="2"/>
  <c r="N34" i="2"/>
  <c r="P34" i="2" s="1"/>
  <c r="S34" i="2"/>
  <c r="AA34" i="2" s="1"/>
  <c r="AC34" i="2"/>
  <c r="I27" i="57" s="1" a="1"/>
  <c r="I27" i="57" s="1"/>
  <c r="J27" i="57" a="1"/>
  <c r="J27" i="57" s="1"/>
  <c r="K27" i="57" a="1"/>
  <c r="K27" i="57" s="1"/>
  <c r="L27" i="57" a="1"/>
  <c r="L27" i="57" s="1"/>
  <c r="H35" i="2"/>
  <c r="M35" i="2"/>
  <c r="O35" i="2" s="1"/>
  <c r="K35" i="2"/>
  <c r="I35" i="2"/>
  <c r="J35" i="2"/>
  <c r="S35" i="2"/>
  <c r="W35" i="2" s="1"/>
  <c r="AC35" i="2"/>
  <c r="I28" i="57" s="1" a="1"/>
  <c r="I28" i="57" s="1"/>
  <c r="J28" i="57" a="1"/>
  <c r="J28" i="57" s="1"/>
  <c r="K28" i="57" a="1"/>
  <c r="K28" i="57" s="1"/>
  <c r="L28" i="57" a="1"/>
  <c r="L28" i="57" s="1"/>
  <c r="H36" i="2"/>
  <c r="M36" i="2"/>
  <c r="O36" i="2" s="1"/>
  <c r="K36" i="2"/>
  <c r="I36" i="2"/>
  <c r="J36" i="2"/>
  <c r="S36" i="2"/>
  <c r="W36" i="2" s="1"/>
  <c r="AC36" i="2"/>
  <c r="I29" i="57" s="1" a="1"/>
  <c r="I29" i="57" s="1"/>
  <c r="J29" i="57" a="1"/>
  <c r="J29" i="57" s="1"/>
  <c r="K29" i="57" a="1"/>
  <c r="K29" i="57" s="1"/>
  <c r="L29" i="57" a="1"/>
  <c r="L29" i="57" s="1"/>
  <c r="H37" i="2"/>
  <c r="M37" i="2"/>
  <c r="O37" i="2" s="1"/>
  <c r="R37" i="2" s="1"/>
  <c r="I37" i="2"/>
  <c r="J37" i="2"/>
  <c r="N37" i="2"/>
  <c r="S37" i="2" s="1"/>
  <c r="W37" i="2" s="1"/>
  <c r="AC37" i="2"/>
  <c r="I30" i="57" s="1" a="1"/>
  <c r="I30" i="57" s="1"/>
  <c r="J30" i="57" a="1"/>
  <c r="J30" i="57" s="1"/>
  <c r="K30" i="57" a="1"/>
  <c r="K30" i="57" s="1"/>
  <c r="L30" i="57" a="1"/>
  <c r="L30" i="57" s="1"/>
  <c r="H38" i="2"/>
  <c r="M38" i="2"/>
  <c r="O38" i="2" s="1"/>
  <c r="K38" i="2"/>
  <c r="I38" i="2"/>
  <c r="J38" i="2"/>
  <c r="S38" i="2"/>
  <c r="W38" i="2" s="1"/>
  <c r="AC38" i="2"/>
  <c r="I31" i="57" s="1" a="1"/>
  <c r="I31" i="57" s="1"/>
  <c r="J31" i="57" a="1"/>
  <c r="J31" i="57" s="1"/>
  <c r="K31" i="57" a="1"/>
  <c r="K31" i="57" s="1"/>
  <c r="L31" i="57" a="1"/>
  <c r="L31" i="57" s="1"/>
  <c r="H39" i="2"/>
  <c r="M39" i="2"/>
  <c r="O39" i="2" s="1"/>
  <c r="K39" i="2"/>
  <c r="I39" i="2"/>
  <c r="J39" i="2"/>
  <c r="S39" i="2"/>
  <c r="AC39" i="2"/>
  <c r="I32" i="57" s="1" a="1"/>
  <c r="I32" i="57" s="1"/>
  <c r="J32" i="57" a="1"/>
  <c r="J32" i="57" s="1"/>
  <c r="K32" i="57" a="1"/>
  <c r="K32" i="57" s="1"/>
  <c r="L32" i="57" a="1"/>
  <c r="L32" i="57" s="1"/>
  <c r="H40" i="2"/>
  <c r="M40" i="2"/>
  <c r="O40" i="2" s="1"/>
  <c r="R40" i="2" s="1"/>
  <c r="I40" i="2"/>
  <c r="J40" i="2"/>
  <c r="N40" i="2"/>
  <c r="P40" i="2" s="1"/>
  <c r="AC40" i="2"/>
  <c r="I33" i="57" s="1" a="1"/>
  <c r="I33" i="57" s="1"/>
  <c r="J33" i="57" a="1"/>
  <c r="J33" i="57" s="1"/>
  <c r="K33" i="57" a="1"/>
  <c r="K33" i="57" s="1"/>
  <c r="L33" i="57" a="1"/>
  <c r="L33" i="57" s="1"/>
  <c r="H41" i="2"/>
  <c r="M41" i="2"/>
  <c r="O41" i="2" s="1"/>
  <c r="R41" i="2" s="1"/>
  <c r="I41" i="2"/>
  <c r="J41" i="2"/>
  <c r="N41" i="2"/>
  <c r="P41" i="2" s="1"/>
  <c r="AC41" i="2"/>
  <c r="I34" i="57" s="1" a="1"/>
  <c r="I34" i="57" s="1"/>
  <c r="J34" i="57" a="1"/>
  <c r="J34" i="57" s="1"/>
  <c r="K34" i="57" a="1"/>
  <c r="K34" i="57" s="1"/>
  <c r="L34" i="57" a="1"/>
  <c r="L34" i="57" s="1"/>
  <c r="H42" i="2"/>
  <c r="M42" i="2"/>
  <c r="O42" i="2" s="1"/>
  <c r="R42" i="2" s="1"/>
  <c r="I42" i="2"/>
  <c r="J42" i="2"/>
  <c r="N42" i="2"/>
  <c r="S42" i="2" s="1"/>
  <c r="AA42" i="2" s="1"/>
  <c r="AC42" i="2"/>
  <c r="I35" i="57" s="1" a="1"/>
  <c r="I35" i="57" s="1"/>
  <c r="J35" i="57" a="1"/>
  <c r="J35" i="57" s="1"/>
  <c r="K35" i="57" a="1"/>
  <c r="K35" i="57" s="1"/>
  <c r="L35" i="57" a="1"/>
  <c r="L35" i="57" s="1"/>
  <c r="H43" i="2"/>
  <c r="M43" i="2"/>
  <c r="O43" i="2" s="1"/>
  <c r="K43" i="2"/>
  <c r="I43" i="2"/>
  <c r="J43" i="2"/>
  <c r="S43" i="2"/>
  <c r="W43" i="2" s="1"/>
  <c r="AC43" i="2"/>
  <c r="I36" i="57" s="1" a="1"/>
  <c r="I36" i="57" s="1"/>
  <c r="J36" i="57" a="1"/>
  <c r="J36" i="57" s="1"/>
  <c r="K36" i="57" a="1"/>
  <c r="K36" i="57" s="1"/>
  <c r="L36" i="57" a="1"/>
  <c r="L36" i="57" s="1"/>
  <c r="H44" i="2"/>
  <c r="M44" i="2"/>
  <c r="O44" i="2" s="1"/>
  <c r="K44" i="2"/>
  <c r="I44" i="2"/>
  <c r="J44" i="2"/>
  <c r="S44" i="2"/>
  <c r="W44" i="2" s="1"/>
  <c r="AC44" i="2"/>
  <c r="I37" i="57" s="1" a="1"/>
  <c r="I37" i="57" s="1"/>
  <c r="J37" i="57" a="1"/>
  <c r="J37" i="57" s="1"/>
  <c r="K37" i="57" a="1"/>
  <c r="K37" i="57" s="1"/>
  <c r="L37" i="57" a="1"/>
  <c r="L37" i="57" s="1"/>
  <c r="H45" i="2"/>
  <c r="M45" i="2"/>
  <c r="O45" i="2" s="1"/>
  <c r="K45" i="2"/>
  <c r="I45" i="2"/>
  <c r="J45" i="2"/>
  <c r="S45" i="2"/>
  <c r="W45" i="2" s="1"/>
  <c r="AC45" i="2"/>
  <c r="I38" i="57" s="1" a="1"/>
  <c r="I38" i="57" s="1"/>
  <c r="J38" i="57" a="1"/>
  <c r="J38" i="57" s="1"/>
  <c r="K38" i="57" a="1"/>
  <c r="K38" i="57" s="1"/>
  <c r="L38" i="57" a="1"/>
  <c r="L38" i="57" s="1"/>
  <c r="H46" i="2"/>
  <c r="M46" i="2"/>
  <c r="O46" i="2" s="1"/>
  <c r="K46" i="2"/>
  <c r="I46" i="2"/>
  <c r="J46" i="2"/>
  <c r="S46" i="2"/>
  <c r="AA46" i="2" s="1"/>
  <c r="AC46" i="2"/>
  <c r="I39" i="57" s="1" a="1"/>
  <c r="I39" i="57" s="1"/>
  <c r="J39" i="57" a="1"/>
  <c r="J39" i="57" s="1"/>
  <c r="K39" i="57" a="1"/>
  <c r="K39" i="57" s="1"/>
  <c r="L39" i="57" a="1"/>
  <c r="L39" i="57" s="1"/>
  <c r="H47" i="2"/>
  <c r="M47" i="2"/>
  <c r="O47" i="2" s="1"/>
  <c r="K47" i="2"/>
  <c r="I47" i="2"/>
  <c r="J47" i="2"/>
  <c r="S47" i="2"/>
  <c r="W47" i="2" s="1"/>
  <c r="AC47" i="2"/>
  <c r="I40" i="57" s="1" a="1"/>
  <c r="I40" i="57" s="1"/>
  <c r="J40" i="57" a="1"/>
  <c r="J40" i="57" s="1"/>
  <c r="K40" i="57" a="1"/>
  <c r="K40" i="57" s="1"/>
  <c r="L40" i="57" a="1"/>
  <c r="L40" i="57" s="1"/>
  <c r="AC48" i="2"/>
  <c r="I41" i="57" s="1" a="1"/>
  <c r="I41" i="57" s="1"/>
  <c r="J41" i="57" a="1"/>
  <c r="J41" i="57" s="1"/>
  <c r="K41" i="57" a="1"/>
  <c r="K41" i="57" s="1"/>
  <c r="L41" i="57" a="1"/>
  <c r="L41" i="57" s="1"/>
  <c r="H16" i="2"/>
  <c r="M16" i="2"/>
  <c r="O16" i="2" s="1"/>
  <c r="K16" i="2"/>
  <c r="I16" i="2"/>
  <c r="J16" i="2"/>
  <c r="S16" i="2"/>
  <c r="AA16" i="2" s="1"/>
  <c r="AC16" i="2"/>
  <c r="I9" i="57" s="1" a="1"/>
  <c r="I9" i="57" s="1"/>
  <c r="J9" i="57" a="1"/>
  <c r="J9" i="57" s="1"/>
  <c r="K9" i="57" a="1"/>
  <c r="K9" i="57" s="1"/>
  <c r="L9" i="57" a="1"/>
  <c r="L9" i="57" s="1"/>
  <c r="K57" i="21"/>
  <c r="K67" i="21"/>
  <c r="K66" i="21"/>
  <c r="K65" i="21"/>
  <c r="K64" i="21"/>
  <c r="K63" i="21"/>
  <c r="K62" i="21"/>
  <c r="K61" i="21"/>
  <c r="K60" i="21"/>
  <c r="K59" i="21"/>
  <c r="K58" i="21"/>
  <c r="K56" i="21"/>
  <c r="K55" i="21"/>
  <c r="K54" i="21"/>
  <c r="K53" i="21"/>
  <c r="K43" i="21"/>
  <c r="K44" i="21"/>
  <c r="K45" i="21"/>
  <c r="K42" i="21"/>
  <c r="K41" i="21"/>
  <c r="K40" i="21"/>
  <c r="K39" i="21"/>
  <c r="K38" i="21"/>
  <c r="K37" i="21"/>
  <c r="K36" i="21"/>
  <c r="K35" i="21"/>
  <c r="K34" i="21"/>
  <c r="K33" i="21"/>
  <c r="K32" i="21"/>
  <c r="K31" i="21"/>
  <c r="N24" i="7"/>
  <c r="P24" i="7" s="1"/>
  <c r="N23" i="7"/>
  <c r="P23" i="7" s="1"/>
  <c r="N22" i="7"/>
  <c r="P22" i="7" s="1"/>
  <c r="N21" i="7"/>
  <c r="P21" i="7" s="1"/>
  <c r="N19" i="7"/>
  <c r="P19" i="7" s="1"/>
  <c r="N18" i="7"/>
  <c r="P18" i="7" s="1"/>
  <c r="N17" i="7"/>
  <c r="P17" i="7" s="1"/>
  <c r="N16" i="7"/>
  <c r="P16" i="7" s="1"/>
  <c r="N48" i="2"/>
  <c r="P48" i="2" s="1"/>
  <c r="N47" i="2"/>
  <c r="P47" i="2" s="1"/>
  <c r="N46" i="2"/>
  <c r="P46" i="2" s="1"/>
  <c r="N45" i="2"/>
  <c r="P45" i="2" s="1"/>
  <c r="N44" i="2"/>
  <c r="P44" i="2" s="1"/>
  <c r="N43" i="2"/>
  <c r="P43" i="2" s="1"/>
  <c r="N16" i="2"/>
  <c r="P16" i="2" s="1"/>
  <c r="N39" i="2"/>
  <c r="P39" i="2" s="1"/>
  <c r="N38" i="2"/>
  <c r="P38" i="2" s="1"/>
  <c r="N25" i="2"/>
  <c r="P25" i="2" s="1"/>
  <c r="N24" i="2"/>
  <c r="P24" i="2" s="1"/>
  <c r="N36" i="2"/>
  <c r="P36" i="2" s="1"/>
  <c r="N35" i="2"/>
  <c r="P35" i="2" s="1"/>
  <c r="N17" i="2"/>
  <c r="P17" i="2" s="1"/>
  <c r="W17" i="7"/>
  <c r="W22" i="7"/>
  <c r="K20" i="7"/>
  <c r="P48" i="42"/>
  <c r="P47" i="42"/>
  <c r="AA46" i="42"/>
  <c r="P46" i="42"/>
  <c r="W45" i="42"/>
  <c r="P45" i="42"/>
  <c r="P44" i="42"/>
  <c r="P43" i="42"/>
  <c r="P42" i="42"/>
  <c r="P41" i="42"/>
  <c r="W40" i="42"/>
  <c r="P40" i="42"/>
  <c r="P39" i="42"/>
  <c r="P38" i="42"/>
  <c r="P37" i="42"/>
  <c r="K37" i="42"/>
  <c r="P36" i="42"/>
  <c r="P35" i="42"/>
  <c r="AA34" i="42"/>
  <c r="P34" i="42"/>
  <c r="P33" i="42"/>
  <c r="P32" i="42"/>
  <c r="W31" i="42"/>
  <c r="P31" i="42"/>
  <c r="P30" i="42"/>
  <c r="W29" i="42"/>
  <c r="P29" i="42"/>
  <c r="AA28" i="42"/>
  <c r="P28" i="42"/>
  <c r="P27" i="42"/>
  <c r="P26" i="42"/>
  <c r="P25" i="42"/>
  <c r="P24" i="42"/>
  <c r="AA23" i="42"/>
  <c r="P23" i="42"/>
  <c r="P22" i="42"/>
  <c r="P21" i="42"/>
  <c r="W20" i="42"/>
  <c r="P20" i="42"/>
  <c r="AA19" i="42"/>
  <c r="P19" i="42"/>
  <c r="P18" i="42"/>
  <c r="P17" i="42"/>
  <c r="P16" i="42"/>
  <c r="AA17" i="7"/>
  <c r="W46" i="42"/>
  <c r="W47" i="42"/>
  <c r="W41" i="42"/>
  <c r="AA40" i="42"/>
  <c r="W42" i="42"/>
  <c r="AA41" i="42"/>
  <c r="AA42" i="42"/>
  <c r="W37" i="42"/>
  <c r="W38" i="42"/>
  <c r="AA39" i="42"/>
  <c r="W33" i="42"/>
  <c r="W32" i="42"/>
  <c r="AA31" i="42"/>
  <c r="W28" i="42"/>
  <c r="W25" i="42"/>
  <c r="AA25" i="42"/>
  <c r="W24" i="42"/>
  <c r="AA20" i="42"/>
  <c r="AA18" i="42"/>
  <c r="W23" i="42"/>
  <c r="K13" i="21"/>
  <c r="K14" i="21"/>
  <c r="K15" i="21"/>
  <c r="K16" i="21"/>
  <c r="K17" i="21"/>
  <c r="K18" i="21"/>
  <c r="K19" i="21"/>
  <c r="K20" i="21"/>
  <c r="K21" i="21"/>
  <c r="K22" i="21"/>
  <c r="K23" i="21"/>
  <c r="K12" i="21"/>
  <c r="N6" i="23"/>
  <c r="N7" i="23"/>
  <c r="N8" i="23"/>
  <c r="N9" i="23"/>
  <c r="N10" i="23"/>
  <c r="N11" i="23"/>
  <c r="N14" i="23"/>
  <c r="N18" i="23"/>
  <c r="N19" i="23"/>
  <c r="N20" i="23"/>
  <c r="N21" i="23"/>
  <c r="N22" i="23"/>
  <c r="N25" i="23"/>
  <c r="N26" i="23"/>
  <c r="N27" i="23"/>
  <c r="N28" i="23"/>
  <c r="N29" i="23"/>
  <c r="N32" i="23"/>
  <c r="N33" i="23"/>
  <c r="N34" i="23"/>
  <c r="N35" i="23"/>
  <c r="N36" i="23"/>
  <c r="N37" i="23"/>
  <c r="N38" i="23"/>
  <c r="N39" i="23"/>
  <c r="N40" i="23"/>
  <c r="N41" i="23"/>
  <c r="N42" i="23"/>
  <c r="N43" i="23"/>
  <c r="N44" i="23"/>
  <c r="N45" i="23"/>
  <c r="N46" i="23"/>
  <c r="N47" i="23"/>
  <c r="N48" i="23"/>
  <c r="N49" i="23"/>
  <c r="N50" i="23"/>
  <c r="N54" i="23"/>
  <c r="N5" i="23"/>
  <c r="K32" i="23"/>
  <c r="K33" i="23"/>
  <c r="K38" i="23"/>
  <c r="K39" i="23"/>
  <c r="K40" i="23"/>
  <c r="K44" i="23"/>
  <c r="K45" i="23"/>
  <c r="K46" i="23"/>
  <c r="K47" i="23"/>
  <c r="K48" i="23"/>
  <c r="K49" i="23"/>
  <c r="K50" i="23"/>
  <c r="K54" i="23"/>
  <c r="P24" i="6"/>
  <c r="P22" i="6"/>
  <c r="P19" i="6"/>
  <c r="P17" i="6"/>
  <c r="P28" i="2"/>
  <c r="P27" i="2"/>
  <c r="K37" i="2"/>
  <c r="P18" i="6"/>
  <c r="P20" i="6"/>
  <c r="P21" i="6"/>
  <c r="P23" i="6"/>
  <c r="P16" i="6"/>
  <c r="P26" i="2"/>
  <c r="H43" i="23"/>
  <c r="E13" i="23"/>
  <c r="E40" i="23"/>
  <c r="H42" i="23"/>
  <c r="K5" i="23"/>
  <c r="E33" i="23"/>
  <c r="H47" i="23"/>
  <c r="E26" i="23"/>
  <c r="E21" i="23"/>
  <c r="H11" i="23"/>
  <c r="H44" i="23"/>
  <c r="H34" i="23"/>
  <c r="K22" i="23"/>
  <c r="K9" i="23"/>
  <c r="H8" i="23"/>
  <c r="K28" i="23"/>
  <c r="E39" i="23"/>
  <c r="H35" i="23"/>
  <c r="E41" i="23"/>
  <c r="H41" i="23"/>
  <c r="K21" i="23"/>
  <c r="K36" i="23"/>
  <c r="K41" i="23"/>
  <c r="E54" i="23"/>
  <c r="E7" i="23"/>
  <c r="E29" i="23"/>
  <c r="K29" i="23"/>
  <c r="H28" i="23"/>
  <c r="H18" i="23"/>
  <c r="K18" i="23"/>
  <c r="H19" i="23"/>
  <c r="K26" i="23"/>
  <c r="K8" i="23"/>
  <c r="K35" i="23"/>
  <c r="H13" i="23"/>
  <c r="H27" i="23"/>
  <c r="H26" i="23"/>
  <c r="E43" i="23"/>
  <c r="E14" i="23"/>
  <c r="K13" i="23"/>
  <c r="H10" i="23"/>
  <c r="K10" i="23"/>
  <c r="E36" i="23"/>
  <c r="E25" i="23"/>
  <c r="N13" i="23"/>
  <c r="E48" i="23"/>
  <c r="E19" i="23"/>
  <c r="H20" i="23"/>
  <c r="H39" i="23"/>
  <c r="E22" i="23"/>
  <c r="H32" i="23"/>
  <c r="K42" i="23"/>
  <c r="E10" i="23"/>
  <c r="H48" i="23"/>
  <c r="E18" i="23"/>
  <c r="E38" i="23"/>
  <c r="H54" i="23"/>
  <c r="H29" i="23"/>
  <c r="H30" i="23"/>
  <c r="H49" i="23"/>
  <c r="E9" i="23"/>
  <c r="E42" i="23"/>
  <c r="E32" i="23"/>
  <c r="K7" i="23"/>
  <c r="K19" i="23"/>
  <c r="E6" i="23"/>
  <c r="H46" i="23"/>
  <c r="K34" i="23"/>
  <c r="K6" i="23"/>
  <c r="K43" i="23"/>
  <c r="H36" i="23"/>
  <c r="K25" i="23"/>
  <c r="H14" i="23"/>
  <c r="K11" i="23"/>
  <c r="H9" i="23"/>
  <c r="E50" i="23"/>
  <c r="E27" i="23"/>
  <c r="H6" i="23"/>
  <c r="H25" i="23"/>
  <c r="N30" i="23"/>
  <c r="H45" i="23"/>
  <c r="H37" i="23"/>
  <c r="H38" i="23"/>
  <c r="E20" i="23"/>
  <c r="H7" i="23"/>
  <c r="E46" i="23"/>
  <c r="E30" i="23"/>
  <c r="H40" i="23"/>
  <c r="K20" i="23"/>
  <c r="H33" i="23"/>
  <c r="E5" i="23"/>
  <c r="E47" i="23"/>
  <c r="E8" i="23"/>
  <c r="E37" i="23"/>
  <c r="K27" i="23"/>
  <c r="K31" i="23"/>
  <c r="E31" i="23"/>
  <c r="K30" i="23"/>
  <c r="K37" i="23"/>
  <c r="H21" i="23"/>
  <c r="E28" i="23"/>
  <c r="E49" i="23"/>
  <c r="H31" i="23"/>
  <c r="E44" i="23"/>
  <c r="K14" i="23"/>
  <c r="E45" i="23"/>
  <c r="E11" i="23"/>
  <c r="N31" i="23"/>
  <c r="H22" i="23"/>
  <c r="H50" i="23"/>
  <c r="H5" i="23"/>
  <c r="E35" i="23"/>
  <c r="E34" i="23"/>
  <c r="E136" i="46" l="1" a="1"/>
  <c r="E136" i="46" s="1"/>
  <c r="H401" i="57" s="1" a="1"/>
  <c r="H401" i="57" s="1"/>
  <c r="U20" i="6"/>
  <c r="I406" i="57" a="1"/>
  <c r="I406" i="57" s="1"/>
  <c r="E46" i="46" a="1"/>
  <c r="E46" i="46" s="1"/>
  <c r="H311" i="57" s="1" a="1"/>
  <c r="H311" i="57" s="1"/>
  <c r="H177" i="57" a="1"/>
  <c r="H177" i="57" s="1"/>
  <c r="H185" i="57" a="1"/>
  <c r="H185" i="57" s="1"/>
  <c r="I411" i="57" a="1"/>
  <c r="I411" i="57" s="1"/>
  <c r="H180" i="57" a="1"/>
  <c r="H180" i="57" s="1"/>
  <c r="I542" i="57" a="1"/>
  <c r="I542" i="57" s="1"/>
  <c r="I573" i="57" a="1"/>
  <c r="I573" i="57" s="1"/>
  <c r="I413" i="57" a="1"/>
  <c r="I413" i="57" s="1"/>
  <c r="I569" i="57" a="1"/>
  <c r="I569" i="57" s="1"/>
  <c r="I561" i="57" a="1"/>
  <c r="I561" i="57" s="1"/>
  <c r="W16" i="7"/>
  <c r="W24" i="7"/>
  <c r="W21" i="7"/>
  <c r="W19" i="7"/>
  <c r="AA30" i="42"/>
  <c r="W16" i="42"/>
  <c r="AA36" i="42"/>
  <c r="AA27" i="42"/>
  <c r="W17" i="42"/>
  <c r="AA22" i="42"/>
  <c r="AA48" i="42"/>
  <c r="W21" i="42"/>
  <c r="W35" i="42"/>
  <c r="AA44" i="42"/>
  <c r="W43" i="42"/>
  <c r="AA26" i="42"/>
  <c r="P20" i="7"/>
  <c r="W23" i="7"/>
  <c r="H186" i="57" a="1"/>
  <c r="H186" i="57" s="1"/>
  <c r="H176" i="57" a="1"/>
  <c r="H176" i="57" s="1"/>
  <c r="E53" i="46" a="1"/>
  <c r="E53" i="46" s="1"/>
  <c r="H318" i="57" s="1" a="1"/>
  <c r="H318" i="57" s="1"/>
  <c r="H165" i="57" a="1"/>
  <c r="H165" i="57" s="1"/>
  <c r="H497" i="57" a="1"/>
  <c r="H497" i="57" s="1"/>
  <c r="S21" i="2"/>
  <c r="W21" i="2" s="1"/>
  <c r="E65" i="46" a="1"/>
  <c r="E65" i="46" s="1"/>
  <c r="H330" i="57" s="1" a="1"/>
  <c r="H330" i="57" s="1"/>
  <c r="AA17" i="2"/>
  <c r="T40" i="2"/>
  <c r="H179" i="57" a="1"/>
  <c r="H179" i="57" s="1"/>
  <c r="E74" i="46" a="1"/>
  <c r="E74" i="46" s="1"/>
  <c r="H339" i="57" s="1" a="1"/>
  <c r="H339" i="57" s="1"/>
  <c r="H231" i="57" a="1"/>
  <c r="H231" i="57" s="1"/>
  <c r="E104" i="46" a="1"/>
  <c r="E104" i="46" s="1"/>
  <c r="H369" i="57" s="1" a="1"/>
  <c r="H369" i="57" s="1"/>
  <c r="R48" i="2"/>
  <c r="U48" i="2" s="1"/>
  <c r="Y48" i="2" s="1"/>
  <c r="H237" i="57" a="1"/>
  <c r="H237" i="57" s="1"/>
  <c r="I480" i="57" a="1"/>
  <c r="I480" i="57" s="1"/>
  <c r="I498" i="57" a="1"/>
  <c r="I498" i="57" s="1"/>
  <c r="H480" i="57" a="1"/>
  <c r="H480" i="57" s="1"/>
  <c r="I481" i="57" a="1"/>
  <c r="I481" i="57" s="1"/>
  <c r="H481" i="57" a="1"/>
  <c r="H481" i="57" s="1"/>
  <c r="H252" i="57" a="1"/>
  <c r="H252" i="57" s="1"/>
  <c r="H498" i="57" a="1"/>
  <c r="H498" i="57" s="1"/>
  <c r="E21" i="21"/>
  <c r="M21" i="21" s="1"/>
  <c r="T21" i="21" s="1"/>
  <c r="H60" i="57" s="1" a="1"/>
  <c r="H60" i="57" s="1"/>
  <c r="I497" i="57" a="1"/>
  <c r="I497" i="57" s="1"/>
  <c r="R23" i="7"/>
  <c r="U23" i="7" s="1"/>
  <c r="Y23" i="7" s="1"/>
  <c r="AA16" i="6"/>
  <c r="I466" i="57" a="1"/>
  <c r="I466" i="57" s="1"/>
  <c r="E97" i="46" a="1"/>
  <c r="E97" i="46" s="1"/>
  <c r="H362" i="57" s="1" a="1"/>
  <c r="H362" i="57" s="1"/>
  <c r="V20" i="2"/>
  <c r="Z20" i="2" s="1"/>
  <c r="AA22" i="6"/>
  <c r="W46" i="2"/>
  <c r="R44" i="2"/>
  <c r="V44" i="2" s="1"/>
  <c r="Z44" i="2" s="1"/>
  <c r="I467" i="57" a="1"/>
  <c r="I467" i="57" s="1"/>
  <c r="V34" i="42"/>
  <c r="Z34" i="42" s="1"/>
  <c r="H467" i="57" a="1"/>
  <c r="H467" i="57" s="1"/>
  <c r="T21" i="2"/>
  <c r="R36" i="42"/>
  <c r="U36" i="42" s="1"/>
  <c r="Y36" i="42" s="1"/>
  <c r="H255" i="57" a="1"/>
  <c r="H255" i="57" s="1"/>
  <c r="H242" i="57" a="1"/>
  <c r="H242" i="57" s="1"/>
  <c r="S32" i="2"/>
  <c r="W32" i="2" s="1"/>
  <c r="H257" i="57" a="1"/>
  <c r="H257" i="57" s="1"/>
  <c r="E94" i="46" a="1"/>
  <c r="E94" i="46" s="1"/>
  <c r="H359" i="57" s="1" a="1"/>
  <c r="H359" i="57" s="1"/>
  <c r="V26" i="42"/>
  <c r="Z26" i="42" s="1"/>
  <c r="N56" i="28"/>
  <c r="H171" i="57" a="1"/>
  <c r="H171" i="57" s="1"/>
  <c r="E88" i="46" a="1"/>
  <c r="E88" i="46" s="1"/>
  <c r="H353" i="57" s="1" a="1"/>
  <c r="H353" i="57" s="1"/>
  <c r="W19" i="6"/>
  <c r="L58" i="28"/>
  <c r="Q10" i="26"/>
  <c r="D17" i="21" s="1"/>
  <c r="L17" i="21" s="1"/>
  <c r="T17" i="21" s="1"/>
  <c r="H56" i="57" s="1" a="1"/>
  <c r="H56" i="57" s="1"/>
  <c r="H222" i="57" a="1"/>
  <c r="H222" i="57" s="1"/>
  <c r="R38" i="2"/>
  <c r="T38" i="2" s="1"/>
  <c r="X38" i="2" s="1"/>
  <c r="H183" i="57" a="1"/>
  <c r="H183" i="57" s="1"/>
  <c r="H164" i="57" a="1"/>
  <c r="H164" i="57" s="1"/>
  <c r="T41" i="42"/>
  <c r="X41" i="42" s="1"/>
  <c r="H209" i="57" a="1"/>
  <c r="H209" i="57" s="1"/>
  <c r="R38" i="42"/>
  <c r="V38" i="42" s="1"/>
  <c r="Z38" i="42" s="1"/>
  <c r="O6" i="23"/>
  <c r="F59" i="21"/>
  <c r="N59" i="21" s="1"/>
  <c r="T59" i="21" s="1"/>
  <c r="H84" i="57" s="1" a="1"/>
  <c r="H84" i="57" s="1"/>
  <c r="H213" i="57" a="1"/>
  <c r="H213" i="57" s="1"/>
  <c r="H197" i="57" a="1"/>
  <c r="H197" i="57" s="1"/>
  <c r="U30" i="2"/>
  <c r="Y30" i="2" s="1"/>
  <c r="O12" i="23"/>
  <c r="G22" i="22" s="1"/>
  <c r="H108" i="57" s="1" a="1"/>
  <c r="H108" i="57" s="1"/>
  <c r="S40" i="2"/>
  <c r="W40" i="2" s="1"/>
  <c r="S30" i="2"/>
  <c r="W30" i="2" s="1"/>
  <c r="U42" i="2"/>
  <c r="Y42" i="2" s="1"/>
  <c r="P42" i="2"/>
  <c r="V34" i="2"/>
  <c r="Z34" i="2" s="1"/>
  <c r="O5" i="23"/>
  <c r="R16" i="2"/>
  <c r="U16" i="2" s="1"/>
  <c r="Y16" i="2" s="1"/>
  <c r="V40" i="2"/>
  <c r="Z40" i="2" s="1"/>
  <c r="E67" i="46" a="1"/>
  <c r="E67" i="46" s="1"/>
  <c r="H332" i="57" s="1" a="1"/>
  <c r="H332" i="57" s="1"/>
  <c r="T34" i="2"/>
  <c r="X34" i="2" s="1"/>
  <c r="V26" i="2"/>
  <c r="Z26" i="2" s="1"/>
  <c r="V20" i="42"/>
  <c r="Z20" i="42" s="1"/>
  <c r="P20" i="2"/>
  <c r="U31" i="2"/>
  <c r="Y31" i="2" s="1"/>
  <c r="U26" i="2"/>
  <c r="Y26" i="2" s="1"/>
  <c r="E22" i="21"/>
  <c r="M22" i="21" s="1"/>
  <c r="T22" i="21" s="1"/>
  <c r="H61" i="57" s="1" a="1"/>
  <c r="H61" i="57" s="1"/>
  <c r="H254" i="57" a="1"/>
  <c r="H254" i="57" s="1"/>
  <c r="AA38" i="2"/>
  <c r="U41" i="2"/>
  <c r="Y41" i="2" s="1"/>
  <c r="F61" i="21"/>
  <c r="N61" i="21" s="1"/>
  <c r="T61" i="21" s="1"/>
  <c r="H86" i="57" s="1" a="1"/>
  <c r="H86" i="57" s="1"/>
  <c r="R17" i="42"/>
  <c r="T17" i="42" s="1"/>
  <c r="X17" i="42" s="1"/>
  <c r="H173" i="57" a="1"/>
  <c r="H173" i="57" s="1"/>
  <c r="AA23" i="6"/>
  <c r="V42" i="2"/>
  <c r="Z42" i="2" s="1"/>
  <c r="V30" i="2"/>
  <c r="Z30" i="2" s="1"/>
  <c r="T34" i="21"/>
  <c r="H66" i="57" s="1" a="1"/>
  <c r="H66" i="57" s="1"/>
  <c r="R16" i="6"/>
  <c r="T16" i="6" s="1"/>
  <c r="X16" i="6" s="1"/>
  <c r="H228" i="57" a="1"/>
  <c r="H228" i="57" s="1"/>
  <c r="H167" i="57" a="1"/>
  <c r="H167" i="57" s="1"/>
  <c r="AA35" i="2"/>
  <c r="O14" i="23"/>
  <c r="H162" i="57" a="1"/>
  <c r="H162" i="57" s="1"/>
  <c r="AA27" i="2"/>
  <c r="R47" i="2"/>
  <c r="U47" i="2" s="1"/>
  <c r="Y47" i="2" s="1"/>
  <c r="S33" i="2"/>
  <c r="L56" i="28"/>
  <c r="H218" i="57" a="1"/>
  <c r="H218" i="57" s="1"/>
  <c r="H170" i="57" a="1"/>
  <c r="H170" i="57" s="1"/>
  <c r="E125" i="46" a="1"/>
  <c r="E125" i="46" s="1"/>
  <c r="H390" i="57" s="1" a="1"/>
  <c r="H390" i="57" s="1"/>
  <c r="E56" i="46" a="1"/>
  <c r="E56" i="46" s="1"/>
  <c r="H321" i="57" s="1" a="1"/>
  <c r="H321" i="57" s="1"/>
  <c r="R19" i="7"/>
  <c r="V19" i="7" s="1"/>
  <c r="Z19" i="7" s="1"/>
  <c r="U28" i="42"/>
  <c r="Y28" i="42" s="1"/>
  <c r="R47" i="42"/>
  <c r="U47" i="42" s="1"/>
  <c r="Y47" i="42" s="1"/>
  <c r="O52" i="23"/>
  <c r="G30" i="22" s="1"/>
  <c r="H116" i="57" s="1" a="1"/>
  <c r="H116" i="57" s="1"/>
  <c r="U32" i="2"/>
  <c r="Y32" i="2" s="1"/>
  <c r="T26" i="2"/>
  <c r="X26" i="2" s="1"/>
  <c r="H221" i="57" a="1"/>
  <c r="H221" i="57" s="1"/>
  <c r="W18" i="6"/>
  <c r="P37" i="2"/>
  <c r="O32" i="23"/>
  <c r="V41" i="2"/>
  <c r="Z41" i="2" s="1"/>
  <c r="O9" i="23"/>
  <c r="U34" i="2"/>
  <c r="Y34" i="2" s="1"/>
  <c r="U23" i="2"/>
  <c r="Y23" i="2" s="1"/>
  <c r="U20" i="2"/>
  <c r="Y20" i="2" s="1"/>
  <c r="H207" i="57" a="1"/>
  <c r="H207" i="57" s="1"/>
  <c r="H168" i="57" a="1"/>
  <c r="H168" i="57" s="1"/>
  <c r="AA21" i="6"/>
  <c r="O50" i="23"/>
  <c r="H269" i="57" a="1"/>
  <c r="H269" i="57" s="1"/>
  <c r="H264" i="57" a="1"/>
  <c r="H264" i="57" s="1"/>
  <c r="H198" i="57" a="1"/>
  <c r="H198" i="57" s="1"/>
  <c r="U29" i="42"/>
  <c r="Y29" i="42" s="1"/>
  <c r="H212" i="57" a="1"/>
  <c r="H212" i="57" s="1"/>
  <c r="H195" i="57" a="1"/>
  <c r="H195" i="57" s="1"/>
  <c r="R16" i="42"/>
  <c r="V16" i="42" s="1"/>
  <c r="Z16" i="42" s="1"/>
  <c r="O37" i="23"/>
  <c r="O35" i="23"/>
  <c r="U29" i="2"/>
  <c r="Y29" i="2" s="1"/>
  <c r="AA48" i="2"/>
  <c r="O13" i="23"/>
  <c r="O54" i="23"/>
  <c r="H206" i="57" a="1"/>
  <c r="H206" i="57" s="1"/>
  <c r="E137" i="46" a="1"/>
  <c r="E137" i="46" s="1"/>
  <c r="H402" i="57" s="1" a="1"/>
  <c r="H402" i="57" s="1"/>
  <c r="E122" i="46" a="1"/>
  <c r="E122" i="46" s="1"/>
  <c r="H387" i="57" s="1" a="1"/>
  <c r="H387" i="57" s="1"/>
  <c r="AA45" i="2"/>
  <c r="T41" i="2"/>
  <c r="X41" i="2" s="1"/>
  <c r="U33" i="2"/>
  <c r="Y33" i="2" s="1"/>
  <c r="V33" i="2"/>
  <c r="Z33" i="2" s="1"/>
  <c r="G80" i="42"/>
  <c r="H596" i="57" s="1" a="1"/>
  <c r="H596" i="57" s="1"/>
  <c r="O25" i="23"/>
  <c r="R45" i="2"/>
  <c r="V45" i="2" s="1"/>
  <c r="Z45" i="2" s="1"/>
  <c r="U40" i="2"/>
  <c r="Y40" i="2" s="1"/>
  <c r="T32" i="2"/>
  <c r="X32" i="2" s="1"/>
  <c r="V19" i="2"/>
  <c r="Z19" i="2" s="1"/>
  <c r="V30" i="42"/>
  <c r="Z30" i="42" s="1"/>
  <c r="T26" i="42"/>
  <c r="X26" i="42" s="1"/>
  <c r="T19" i="2"/>
  <c r="X19" i="2" s="1"/>
  <c r="P22" i="2"/>
  <c r="T57" i="21"/>
  <c r="H82" i="57" s="1" a="1"/>
  <c r="H82" i="57" s="1"/>
  <c r="W24" i="6"/>
  <c r="O11" i="23"/>
  <c r="X40" i="2"/>
  <c r="H263" i="57" a="1"/>
  <c r="H263" i="57" s="1"/>
  <c r="H194" i="57" a="1"/>
  <c r="H194" i="57" s="1"/>
  <c r="T40" i="42"/>
  <c r="X40" i="42" s="1"/>
  <c r="O22" i="23"/>
  <c r="R46" i="2"/>
  <c r="T28" i="2"/>
  <c r="X28" i="2" s="1"/>
  <c r="U19" i="2"/>
  <c r="Y19" i="2" s="1"/>
  <c r="R22" i="6"/>
  <c r="T22" i="6" s="1"/>
  <c r="X22" i="6" s="1"/>
  <c r="R19" i="6"/>
  <c r="T19" i="6" s="1"/>
  <c r="X19" i="6" s="1"/>
  <c r="R24" i="6"/>
  <c r="U24" i="6" s="1"/>
  <c r="Y24" i="6" s="1"/>
  <c r="T32" i="21"/>
  <c r="H64" i="57" s="1" a="1"/>
  <c r="H64" i="57" s="1"/>
  <c r="AA36" i="2"/>
  <c r="O40" i="23"/>
  <c r="T35" i="21"/>
  <c r="H67" i="57" s="1" a="1"/>
  <c r="H67" i="57" s="1"/>
  <c r="H236" i="57" a="1"/>
  <c r="H236" i="57" s="1"/>
  <c r="V23" i="7"/>
  <c r="Z23" i="7" s="1"/>
  <c r="R44" i="42"/>
  <c r="U44" i="42" s="1"/>
  <c r="Y44" i="42" s="1"/>
  <c r="T23" i="42"/>
  <c r="X23" i="42" s="1"/>
  <c r="O30" i="23"/>
  <c r="O18" i="23"/>
  <c r="R23" i="6"/>
  <c r="U23" i="6" s="1"/>
  <c r="Y23" i="6" s="1"/>
  <c r="Y20" i="6"/>
  <c r="T42" i="42"/>
  <c r="X42" i="42" s="1"/>
  <c r="AA20" i="2"/>
  <c r="W16" i="2"/>
  <c r="W24" i="2"/>
  <c r="H227" i="57" a="1"/>
  <c r="H227" i="57" s="1"/>
  <c r="H204" i="57" a="1"/>
  <c r="H204" i="57" s="1"/>
  <c r="O49" i="23"/>
  <c r="O46" i="23"/>
  <c r="O36" i="23"/>
  <c r="O33" i="23"/>
  <c r="R25" i="2"/>
  <c r="V25" i="2" s="1"/>
  <c r="Z25" i="2" s="1"/>
  <c r="V20" i="6"/>
  <c r="Z20" i="6" s="1"/>
  <c r="H239" i="57" a="1"/>
  <c r="H239" i="57" s="1"/>
  <c r="R21" i="7"/>
  <c r="V21" i="7" s="1"/>
  <c r="Z21" i="7" s="1"/>
  <c r="R46" i="42"/>
  <c r="U46" i="42" s="1"/>
  <c r="Y46" i="42" s="1"/>
  <c r="R25" i="42"/>
  <c r="U25" i="42" s="1"/>
  <c r="Y25" i="42" s="1"/>
  <c r="AA28" i="2"/>
  <c r="AA25" i="2"/>
  <c r="R43" i="2"/>
  <c r="T43" i="2" s="1"/>
  <c r="X43" i="2" s="1"/>
  <c r="T40" i="21"/>
  <c r="H72" i="57" s="1" a="1"/>
  <c r="H72" i="57" s="1"/>
  <c r="AA30" i="2"/>
  <c r="O41" i="23"/>
  <c r="U44" i="2"/>
  <c r="Y44" i="2" s="1"/>
  <c r="V31" i="2"/>
  <c r="Z31" i="2" s="1"/>
  <c r="R17" i="7"/>
  <c r="V17" i="7" s="1"/>
  <c r="Z17" i="7" s="1"/>
  <c r="U33" i="42"/>
  <c r="Y33" i="42" s="1"/>
  <c r="T22" i="42"/>
  <c r="X22" i="42" s="1"/>
  <c r="T20" i="7"/>
  <c r="X20" i="7" s="1"/>
  <c r="AA17" i="6"/>
  <c r="O7" i="23"/>
  <c r="O26" i="23"/>
  <c r="O28" i="23"/>
  <c r="O29" i="23"/>
  <c r="V32" i="2"/>
  <c r="Z32" i="2" s="1"/>
  <c r="H234" i="57" a="1"/>
  <c r="H234" i="57" s="1"/>
  <c r="W26" i="2"/>
  <c r="P18" i="2"/>
  <c r="T44" i="2"/>
  <c r="X44" i="2" s="1"/>
  <c r="R21" i="6"/>
  <c r="U21" i="6" s="1"/>
  <c r="Y21" i="6" s="1"/>
  <c r="T44" i="21"/>
  <c r="H76" i="57" s="1" a="1"/>
  <c r="H76" i="57" s="1"/>
  <c r="T41" i="21"/>
  <c r="H73" i="57" s="1" a="1"/>
  <c r="H73" i="57" s="1"/>
  <c r="E124" i="46" a="1"/>
  <c r="E124" i="46" s="1"/>
  <c r="H389" i="57" s="1" a="1"/>
  <c r="H389" i="57" s="1"/>
  <c r="V29" i="42"/>
  <c r="Z29" i="42" s="1"/>
  <c r="O34" i="23"/>
  <c r="O31" i="23"/>
  <c r="O45" i="23"/>
  <c r="O19" i="23"/>
  <c r="O39" i="23"/>
  <c r="O42" i="23"/>
  <c r="P31" i="2"/>
  <c r="T54" i="21"/>
  <c r="H79" i="57" s="1" a="1"/>
  <c r="H79" i="57" s="1"/>
  <c r="T23" i="21"/>
  <c r="H62" i="57" s="1" a="1"/>
  <c r="H62" i="57" s="1"/>
  <c r="R16" i="7"/>
  <c r="U16" i="7" s="1"/>
  <c r="Y16" i="7" s="1"/>
  <c r="R22" i="7"/>
  <c r="U22" i="7" s="1"/>
  <c r="Y22" i="7" s="1"/>
  <c r="R24" i="7"/>
  <c r="U24" i="7" s="1"/>
  <c r="Y24" i="7" s="1"/>
  <c r="U26" i="42"/>
  <c r="Y26" i="42" s="1"/>
  <c r="O53" i="23"/>
  <c r="S29" i="2"/>
  <c r="P29" i="2"/>
  <c r="H267" i="57" a="1"/>
  <c r="H267" i="57" s="1"/>
  <c r="E131" i="46" a="1"/>
  <c r="E131" i="46" s="1"/>
  <c r="H396" i="57" s="1" a="1"/>
  <c r="H396" i="57" s="1"/>
  <c r="H266" i="57" a="1"/>
  <c r="H266" i="57" s="1"/>
  <c r="E130" i="46" a="1"/>
  <c r="E130" i="46" s="1"/>
  <c r="H395" i="57" s="1" a="1"/>
  <c r="H395" i="57" s="1"/>
  <c r="E107" i="46" a="1"/>
  <c r="E107" i="46" s="1"/>
  <c r="H372" i="57" s="1" a="1"/>
  <c r="H372" i="57" s="1"/>
  <c r="H243" i="57" a="1"/>
  <c r="H243" i="57" s="1"/>
  <c r="E89" i="46" a="1"/>
  <c r="E89" i="46" s="1"/>
  <c r="H354" i="57" s="1" a="1"/>
  <c r="H354" i="57" s="1"/>
  <c r="H225" i="57" a="1"/>
  <c r="H225" i="57" s="1"/>
  <c r="T34" i="42"/>
  <c r="X34" i="42" s="1"/>
  <c r="T30" i="42"/>
  <c r="X30" i="42" s="1"/>
  <c r="O16" i="23"/>
  <c r="R18" i="7"/>
  <c r="U18" i="7" s="1"/>
  <c r="Y18" i="7" s="1"/>
  <c r="R24" i="42"/>
  <c r="V24" i="42" s="1"/>
  <c r="Z24" i="42" s="1"/>
  <c r="O23" i="23"/>
  <c r="T42" i="2"/>
  <c r="X42" i="2" s="1"/>
  <c r="T30" i="2"/>
  <c r="X30" i="2" s="1"/>
  <c r="U28" i="2"/>
  <c r="Y28" i="2" s="1"/>
  <c r="R17" i="2"/>
  <c r="U17" i="2" s="1"/>
  <c r="Y17" i="2" s="1"/>
  <c r="R17" i="6"/>
  <c r="U17" i="6" s="1"/>
  <c r="Y17" i="6" s="1"/>
  <c r="T67" i="21"/>
  <c r="H92" i="57" s="1" a="1"/>
  <c r="H92" i="57" s="1"/>
  <c r="R36" i="2"/>
  <c r="T36" i="2" s="1"/>
  <c r="X36" i="2" s="1"/>
  <c r="T31" i="21"/>
  <c r="H63" i="57" s="1" a="1"/>
  <c r="H63" i="57" s="1"/>
  <c r="H161" i="57" a="1"/>
  <c r="H161" i="57" s="1"/>
  <c r="H158" i="57" a="1"/>
  <c r="H158" i="57" s="1"/>
  <c r="R35" i="42"/>
  <c r="T35" i="42" s="1"/>
  <c r="X35" i="42" s="1"/>
  <c r="R48" i="42"/>
  <c r="U48" i="42" s="1"/>
  <c r="Y48" i="42" s="1"/>
  <c r="V20" i="7"/>
  <c r="Z20" i="7" s="1"/>
  <c r="O17" i="23"/>
  <c r="O15" i="23"/>
  <c r="U19" i="42"/>
  <c r="Y19" i="42" s="1"/>
  <c r="O24" i="23"/>
  <c r="E38" i="46" a="1"/>
  <c r="E38" i="46" s="1"/>
  <c r="H303" i="57" s="1" a="1"/>
  <c r="H303" i="57" s="1"/>
  <c r="U30" i="42"/>
  <c r="Y30" i="42" s="1"/>
  <c r="O21" i="23"/>
  <c r="O20" i="23"/>
  <c r="O27" i="23"/>
  <c r="R24" i="2"/>
  <c r="T24" i="2" s="1"/>
  <c r="X24" i="2" s="1"/>
  <c r="T37" i="2"/>
  <c r="X37" i="2" s="1"/>
  <c r="V37" i="2"/>
  <c r="Z37" i="2" s="1"/>
  <c r="T22" i="2"/>
  <c r="X22" i="2" s="1"/>
  <c r="U22" i="2"/>
  <c r="Y22" i="2" s="1"/>
  <c r="U37" i="2"/>
  <c r="Y37" i="2" s="1"/>
  <c r="W19" i="2"/>
  <c r="AA19" i="2"/>
  <c r="U18" i="2"/>
  <c r="Y18" i="2" s="1"/>
  <c r="V18" i="2"/>
  <c r="Z18" i="2" s="1"/>
  <c r="AA47" i="2"/>
  <c r="T20" i="6"/>
  <c r="X20" i="6" s="1"/>
  <c r="R18" i="6"/>
  <c r="U18" i="6" s="1"/>
  <c r="Y18" i="6" s="1"/>
  <c r="F55" i="21"/>
  <c r="N55" i="21" s="1"/>
  <c r="T55" i="21" s="1"/>
  <c r="H80" i="57" s="1" a="1"/>
  <c r="H80" i="57" s="1"/>
  <c r="F53" i="21"/>
  <c r="N53" i="21" s="1"/>
  <c r="T53" i="21" s="1"/>
  <c r="H78" i="57" s="1" a="1"/>
  <c r="H78" i="57" s="1"/>
  <c r="E113" i="46" a="1"/>
  <c r="E113" i="46" s="1"/>
  <c r="H378" i="57" s="1" a="1"/>
  <c r="H378" i="57" s="1"/>
  <c r="H249" i="57" a="1"/>
  <c r="H249" i="57" s="1"/>
  <c r="AA37" i="2"/>
  <c r="AA44" i="2"/>
  <c r="W39" i="2"/>
  <c r="AA39" i="2"/>
  <c r="X21" i="2"/>
  <c r="T37" i="21"/>
  <c r="H69" i="57" s="1" a="1"/>
  <c r="H69" i="57" s="1"/>
  <c r="E134" i="46" a="1"/>
  <c r="E134" i="46" s="1"/>
  <c r="H399" i="57" s="1" a="1"/>
  <c r="H399" i="57" s="1"/>
  <c r="H270" i="57" a="1"/>
  <c r="H270" i="57" s="1"/>
  <c r="S23" i="2"/>
  <c r="P23" i="2"/>
  <c r="O43" i="23"/>
  <c r="T36" i="21"/>
  <c r="H68" i="57" s="1" a="1"/>
  <c r="H68" i="57" s="1"/>
  <c r="F65" i="21"/>
  <c r="N65" i="21" s="1"/>
  <c r="T65" i="21" s="1"/>
  <c r="H90" i="57" s="1" a="1"/>
  <c r="H90" i="57" s="1"/>
  <c r="F66" i="21"/>
  <c r="N66" i="21" s="1"/>
  <c r="T66" i="21" s="1"/>
  <c r="H91" i="57" s="1" a="1"/>
  <c r="H91" i="57" s="1"/>
  <c r="O48" i="23"/>
  <c r="D15" i="21"/>
  <c r="L15" i="21" s="1"/>
  <c r="T15" i="21" s="1"/>
  <c r="H54" i="57" s="1" a="1"/>
  <c r="H54" i="57" s="1"/>
  <c r="V28" i="2"/>
  <c r="Z28" i="2" s="1"/>
  <c r="V23" i="2"/>
  <c r="Z23" i="2" s="1"/>
  <c r="T38" i="21"/>
  <c r="H70" i="57" s="1" a="1"/>
  <c r="H70" i="57" s="1"/>
  <c r="P19" i="2"/>
  <c r="T31" i="2"/>
  <c r="X31" i="2" s="1"/>
  <c r="W22" i="2"/>
  <c r="T18" i="2"/>
  <c r="X18" i="2" s="1"/>
  <c r="T60" i="21"/>
  <c r="H85" i="57" s="1" a="1"/>
  <c r="H85" i="57" s="1"/>
  <c r="W42" i="2"/>
  <c r="AA20" i="6"/>
  <c r="W20" i="6"/>
  <c r="F58" i="21"/>
  <c r="N58" i="21" s="1"/>
  <c r="T58" i="21" s="1"/>
  <c r="H83" i="57" s="1" a="1"/>
  <c r="H83" i="57" s="1"/>
  <c r="F56" i="21"/>
  <c r="N56" i="21" s="1"/>
  <c r="T56" i="21" s="1"/>
  <c r="H81" i="57" s="1" a="1"/>
  <c r="H81" i="57" s="1"/>
  <c r="O8" i="23"/>
  <c r="O47" i="23"/>
  <c r="AA43" i="2"/>
  <c r="T42" i="21"/>
  <c r="H74" i="57" s="1" a="1"/>
  <c r="H74" i="57" s="1"/>
  <c r="T39" i="21"/>
  <c r="H71" i="57" s="1" a="1"/>
  <c r="H71" i="57" s="1"/>
  <c r="D14" i="21"/>
  <c r="L14" i="21" s="1"/>
  <c r="T14" i="21" s="1"/>
  <c r="H53" i="57" s="1" a="1"/>
  <c r="H53" i="57" s="1"/>
  <c r="D13" i="21"/>
  <c r="L13" i="21" s="1"/>
  <c r="T13" i="21" s="1"/>
  <c r="H52" i="57" s="1" a="1"/>
  <c r="H52" i="57" s="1"/>
  <c r="D12" i="21"/>
  <c r="L12" i="21" s="1"/>
  <c r="T12" i="21" s="1"/>
  <c r="H51" i="57" s="1" a="1"/>
  <c r="H51" i="57" s="1"/>
  <c r="W18" i="2"/>
  <c r="V29" i="2"/>
  <c r="Z29" i="2" s="1"/>
  <c r="AA18" i="2"/>
  <c r="O44" i="23"/>
  <c r="O38" i="23"/>
  <c r="T47" i="2"/>
  <c r="X47" i="2" s="1"/>
  <c r="S41" i="2"/>
  <c r="V27" i="2"/>
  <c r="Z27" i="2" s="1"/>
  <c r="V21" i="2"/>
  <c r="Z21" i="2" s="1"/>
  <c r="T33" i="21"/>
  <c r="H65" i="57" s="1" a="1"/>
  <c r="H65" i="57" s="1"/>
  <c r="T29" i="2"/>
  <c r="X29" i="2" s="1"/>
  <c r="W34" i="2"/>
  <c r="U27" i="2"/>
  <c r="Y27" i="2" s="1"/>
  <c r="U21" i="2"/>
  <c r="Y21" i="2" s="1"/>
  <c r="F63" i="21"/>
  <c r="N63" i="21" s="1"/>
  <c r="T63" i="21" s="1"/>
  <c r="H88" i="57" s="1" a="1"/>
  <c r="H88" i="57" s="1"/>
  <c r="F62" i="21"/>
  <c r="N62" i="21" s="1"/>
  <c r="T62" i="21" s="1"/>
  <c r="H87" i="57" s="1" a="1"/>
  <c r="H87" i="57" s="1"/>
  <c r="F64" i="21"/>
  <c r="N64" i="21" s="1"/>
  <c r="T64" i="21" s="1"/>
  <c r="H89" i="57" s="1" a="1"/>
  <c r="H89" i="57" s="1"/>
  <c r="T23" i="2"/>
  <c r="X23" i="2" s="1"/>
  <c r="D16" i="21"/>
  <c r="L16" i="21" s="1"/>
  <c r="T16" i="21" s="1"/>
  <c r="H55" i="57" s="1" a="1"/>
  <c r="H55" i="57" s="1"/>
  <c r="E112" i="46" a="1"/>
  <c r="E112" i="46" s="1"/>
  <c r="H377" i="57" s="1" a="1"/>
  <c r="H377" i="57" s="1"/>
  <c r="H248" i="57" a="1"/>
  <c r="H248" i="57" s="1"/>
  <c r="V22" i="2"/>
  <c r="Z22" i="2" s="1"/>
  <c r="AA31" i="2"/>
  <c r="T43" i="21"/>
  <c r="H75" i="57" s="1" a="1"/>
  <c r="H75" i="57" s="1"/>
  <c r="R39" i="2"/>
  <c r="U39" i="2" s="1"/>
  <c r="Y39" i="2" s="1"/>
  <c r="T27" i="2"/>
  <c r="X27" i="2" s="1"/>
  <c r="T20" i="2"/>
  <c r="X20" i="2" s="1"/>
  <c r="E64" i="46" a="1"/>
  <c r="E64" i="46" s="1"/>
  <c r="H329" i="57" s="1" a="1"/>
  <c r="H329" i="57" s="1"/>
  <c r="H200" i="57" a="1"/>
  <c r="H200" i="57" s="1"/>
  <c r="E55" i="46" a="1"/>
  <c r="E55" i="46" s="1"/>
  <c r="H320" i="57" s="1" a="1"/>
  <c r="H320" i="57" s="1"/>
  <c r="H191" i="57" a="1"/>
  <c r="H191" i="57" s="1"/>
  <c r="H219" i="57" a="1"/>
  <c r="H219" i="57" s="1"/>
  <c r="E83" i="46" a="1"/>
  <c r="E83" i="46" s="1"/>
  <c r="H348" i="57" s="1" a="1"/>
  <c r="H348" i="57" s="1"/>
  <c r="T45" i="21"/>
  <c r="H77" i="57" s="1" a="1"/>
  <c r="H77" i="57" s="1"/>
  <c r="O10" i="23"/>
  <c r="R35" i="2"/>
  <c r="V35" i="2" s="1"/>
  <c r="Z35" i="2" s="1"/>
  <c r="T33" i="2"/>
  <c r="X33" i="2" s="1"/>
  <c r="E115" i="46" a="1"/>
  <c r="E115" i="46" s="1"/>
  <c r="H380" i="57" s="1" a="1"/>
  <c r="H380" i="57" s="1"/>
  <c r="H251" i="57" a="1"/>
  <c r="H251" i="57" s="1"/>
  <c r="AA20" i="7"/>
  <c r="T31" i="42"/>
  <c r="X31" i="42" s="1"/>
  <c r="U31" i="42"/>
  <c r="Y31" i="42" s="1"/>
  <c r="T27" i="42"/>
  <c r="X27" i="42" s="1"/>
  <c r="U27" i="42"/>
  <c r="Y27" i="42" s="1"/>
  <c r="V27" i="42"/>
  <c r="Z27" i="42" s="1"/>
  <c r="U21" i="42"/>
  <c r="Y21" i="42" s="1"/>
  <c r="T33" i="42"/>
  <c r="X33" i="42" s="1"/>
  <c r="T28" i="42"/>
  <c r="X28" i="42" s="1"/>
  <c r="U34" i="42"/>
  <c r="Y34" i="42" s="1"/>
  <c r="T29" i="42"/>
  <c r="X29" i="42" s="1"/>
  <c r="V22" i="42"/>
  <c r="Z22" i="42" s="1"/>
  <c r="T21" i="42"/>
  <c r="X21" i="42" s="1"/>
  <c r="U22" i="42"/>
  <c r="Y22" i="42" s="1"/>
  <c r="V40" i="42"/>
  <c r="Z40" i="42" s="1"/>
  <c r="V23" i="42"/>
  <c r="Z23" i="42" s="1"/>
  <c r="O51" i="23"/>
  <c r="V41" i="42"/>
  <c r="Z41" i="42" s="1"/>
  <c r="U40" i="42"/>
  <c r="Y40" i="42" s="1"/>
  <c r="V31" i="42"/>
  <c r="Z31" i="42" s="1"/>
  <c r="V42" i="42"/>
  <c r="Z42" i="42" s="1"/>
  <c r="U23" i="42"/>
  <c r="Y23" i="42" s="1"/>
  <c r="U41" i="42"/>
  <c r="Y41" i="42" s="1"/>
  <c r="T19" i="42"/>
  <c r="X19" i="42" s="1"/>
  <c r="U20" i="7"/>
  <c r="Y20" i="7" s="1"/>
  <c r="V37" i="42"/>
  <c r="Z37" i="42" s="1"/>
  <c r="V32" i="42"/>
  <c r="Z32" i="42" s="1"/>
  <c r="V28" i="42"/>
  <c r="Z28" i="42" s="1"/>
  <c r="AA33" i="42"/>
  <c r="I559" i="57" s="1" a="1"/>
  <c r="I559" i="57" s="1"/>
  <c r="AA45" i="42"/>
  <c r="I571" i="57" s="1" a="1"/>
  <c r="I571" i="57" s="1"/>
  <c r="V33" i="42"/>
  <c r="Z33" i="42" s="1"/>
  <c r="U32" i="42"/>
  <c r="Y32" i="42" s="1"/>
  <c r="T37" i="42"/>
  <c r="X37" i="42" s="1"/>
  <c r="U37" i="42"/>
  <c r="Y37" i="42" s="1"/>
  <c r="AA18" i="7"/>
  <c r="R43" i="42"/>
  <c r="AA38" i="42"/>
  <c r="I564" i="57" s="1" a="1"/>
  <c r="I564" i="57" s="1"/>
  <c r="V21" i="42"/>
  <c r="Z21" i="42" s="1"/>
  <c r="T20" i="42"/>
  <c r="X20" i="42" s="1"/>
  <c r="U42" i="42"/>
  <c r="Y42" i="42" s="1"/>
  <c r="AA37" i="42"/>
  <c r="I563" i="57" s="1" a="1"/>
  <c r="I563" i="57" s="1"/>
  <c r="T32" i="42"/>
  <c r="X32" i="42" s="1"/>
  <c r="V18" i="42"/>
  <c r="Z18" i="42" s="1"/>
  <c r="R45" i="42"/>
  <c r="V45" i="42" s="1"/>
  <c r="Z45" i="42" s="1"/>
  <c r="V19" i="42"/>
  <c r="Z19" i="42" s="1"/>
  <c r="U18" i="42"/>
  <c r="Y18" i="42" s="1"/>
  <c r="U20" i="42"/>
  <c r="Y20" i="42" s="1"/>
  <c r="T18" i="42"/>
  <c r="X18" i="42" s="1"/>
  <c r="R39" i="42"/>
  <c r="T39" i="42" s="1"/>
  <c r="X39" i="42" s="1"/>
  <c r="G88" i="42" l="1"/>
  <c r="H604" i="57" s="1" a="1"/>
  <c r="H604" i="57" s="1"/>
  <c r="V36" i="42"/>
  <c r="Z36" i="42" s="1"/>
  <c r="T36" i="42"/>
  <c r="X36" i="42" s="1"/>
  <c r="T23" i="7"/>
  <c r="X23" i="7" s="1"/>
  <c r="U17" i="7"/>
  <c r="Y17" i="7" s="1"/>
  <c r="I408" i="57" a="1"/>
  <c r="I408" i="57" s="1"/>
  <c r="I410" i="57" a="1"/>
  <c r="I410" i="57" s="1"/>
  <c r="V17" i="42"/>
  <c r="Z17" i="42" s="1"/>
  <c r="AA21" i="2"/>
  <c r="V48" i="2"/>
  <c r="Z48" i="2" s="1"/>
  <c r="AA32" i="2"/>
  <c r="T48" i="2"/>
  <c r="X48" i="2" s="1"/>
  <c r="AB48" i="2" s="1"/>
  <c r="H41" i="57" s="1" a="1"/>
  <c r="H41" i="57" s="1"/>
  <c r="AA40" i="2"/>
  <c r="U19" i="7"/>
  <c r="Y19" i="7" s="1"/>
  <c r="V16" i="6"/>
  <c r="Z16" i="6" s="1"/>
  <c r="AB34" i="42"/>
  <c r="H560" i="57" s="1" a="1"/>
  <c r="H560" i="57" s="1"/>
  <c r="U38" i="2"/>
  <c r="Y38" i="2" s="1"/>
  <c r="V47" i="2"/>
  <c r="Z47" i="2" s="1"/>
  <c r="AB47" i="2" s="1"/>
  <c r="H40" i="57" s="1" a="1"/>
  <c r="H40" i="57" s="1"/>
  <c r="T25" i="2"/>
  <c r="X25" i="2" s="1"/>
  <c r="T38" i="42"/>
  <c r="X38" i="42" s="1"/>
  <c r="T47" i="42"/>
  <c r="X47" i="42" s="1"/>
  <c r="U38" i="42"/>
  <c r="Y38" i="42" s="1"/>
  <c r="AB20" i="6"/>
  <c r="H46" i="57" s="1" a="1"/>
  <c r="H46" i="57" s="1"/>
  <c r="T17" i="7"/>
  <c r="X17" i="7" s="1"/>
  <c r="AB17" i="7" s="1"/>
  <c r="H407" i="57" s="1" a="1"/>
  <c r="H407" i="57" s="1"/>
  <c r="V47" i="42"/>
  <c r="Z47" i="42" s="1"/>
  <c r="AB47" i="42" s="1"/>
  <c r="H573" i="57" s="1" a="1"/>
  <c r="H573" i="57" s="1"/>
  <c r="T19" i="7"/>
  <c r="X19" i="7" s="1"/>
  <c r="L59" i="28"/>
  <c r="L60" i="28" s="1"/>
  <c r="M8" i="28" s="1"/>
  <c r="N8" i="28" s="1"/>
  <c r="D18" i="21" s="1"/>
  <c r="L18" i="21" s="1"/>
  <c r="T18" i="21" s="1"/>
  <c r="H57" i="57" s="1" a="1"/>
  <c r="H57" i="57" s="1"/>
  <c r="V24" i="2"/>
  <c r="Z24" i="2" s="1"/>
  <c r="AB20" i="2"/>
  <c r="H13" i="57" s="1" a="1"/>
  <c r="H13" i="57" s="1"/>
  <c r="AB34" i="2"/>
  <c r="H27" i="57" s="1" a="1"/>
  <c r="H27" i="57" s="1"/>
  <c r="V17" i="2"/>
  <c r="Z17" i="2" s="1"/>
  <c r="T23" i="6"/>
  <c r="X23" i="6" s="1"/>
  <c r="U16" i="6"/>
  <c r="Y16" i="6" s="1"/>
  <c r="T46" i="42"/>
  <c r="X46" i="42" s="1"/>
  <c r="AB41" i="42"/>
  <c r="H567" i="57" s="1" a="1"/>
  <c r="H567" i="57" s="1"/>
  <c r="AB23" i="42"/>
  <c r="H549" i="57" s="1" a="1"/>
  <c r="H549" i="57" s="1"/>
  <c r="V38" i="2"/>
  <c r="Z38" i="2" s="1"/>
  <c r="V21" i="6"/>
  <c r="Z21" i="6" s="1"/>
  <c r="AB26" i="42"/>
  <c r="H552" i="57" s="1" a="1"/>
  <c r="H552" i="57" s="1"/>
  <c r="V44" i="42"/>
  <c r="Z44" i="42" s="1"/>
  <c r="T48" i="42"/>
  <c r="X48" i="42" s="1"/>
  <c r="AB36" i="42"/>
  <c r="H562" i="57" s="1" a="1"/>
  <c r="H562" i="57" s="1"/>
  <c r="AB29" i="42"/>
  <c r="H555" i="57" s="1" a="1"/>
  <c r="H555" i="57" s="1"/>
  <c r="U16" i="42"/>
  <c r="Y16" i="42" s="1"/>
  <c r="U17" i="42"/>
  <c r="Y17" i="42" s="1"/>
  <c r="AB17" i="42" s="1"/>
  <c r="H543" i="57" s="1" a="1"/>
  <c r="H543" i="57" s="1"/>
  <c r="AB42" i="2"/>
  <c r="H35" i="57" s="1" a="1"/>
  <c r="H35" i="57" s="1"/>
  <c r="T18" i="6"/>
  <c r="X18" i="6" s="1"/>
  <c r="U25" i="2"/>
  <c r="Y25" i="2" s="1"/>
  <c r="V36" i="2"/>
  <c r="Z36" i="2" s="1"/>
  <c r="T21" i="7"/>
  <c r="X21" i="7" s="1"/>
  <c r="T16" i="42"/>
  <c r="X16" i="42" s="1"/>
  <c r="T16" i="2"/>
  <c r="X16" i="2" s="1"/>
  <c r="AB30" i="2"/>
  <c r="H23" i="57" s="1" a="1"/>
  <c r="H23" i="57" s="1"/>
  <c r="T44" i="42"/>
  <c r="X44" i="42" s="1"/>
  <c r="T17" i="2"/>
  <c r="X17" i="2" s="1"/>
  <c r="AB42" i="42"/>
  <c r="H568" i="57" s="1" a="1"/>
  <c r="H568" i="57" s="1"/>
  <c r="V16" i="2"/>
  <c r="Z16" i="2" s="1"/>
  <c r="V43" i="2"/>
  <c r="Z43" i="2" s="1"/>
  <c r="AB19" i="42"/>
  <c r="H545" i="57" s="1" a="1"/>
  <c r="H545" i="57" s="1"/>
  <c r="T21" i="6"/>
  <c r="X21" i="6" s="1"/>
  <c r="AB20" i="7"/>
  <c r="H410" i="57" s="1" a="1"/>
  <c r="H410" i="57" s="1"/>
  <c r="W33" i="2"/>
  <c r="AA33" i="2"/>
  <c r="T45" i="2"/>
  <c r="X45" i="2" s="1"/>
  <c r="U45" i="2"/>
  <c r="Y45" i="2" s="1"/>
  <c r="V23" i="6"/>
  <c r="Z23" i="6" s="1"/>
  <c r="T45" i="42"/>
  <c r="X45" i="42" s="1"/>
  <c r="AB37" i="2"/>
  <c r="H30" i="57" s="1" a="1"/>
  <c r="H30" i="57" s="1"/>
  <c r="V19" i="6"/>
  <c r="Z19" i="6" s="1"/>
  <c r="V17" i="6"/>
  <c r="Z17" i="6" s="1"/>
  <c r="AB31" i="42"/>
  <c r="H557" i="57" s="1" a="1"/>
  <c r="H557" i="57" s="1"/>
  <c r="AB33" i="42"/>
  <c r="H559" i="57" s="1" a="1"/>
  <c r="H559" i="57" s="1"/>
  <c r="V35" i="42"/>
  <c r="Z35" i="42" s="1"/>
  <c r="AB40" i="42"/>
  <c r="H566" i="57" s="1" a="1"/>
  <c r="H566" i="57" s="1"/>
  <c r="V18" i="6"/>
  <c r="Z18" i="6" s="1"/>
  <c r="V16" i="7"/>
  <c r="Z16" i="7" s="1"/>
  <c r="V48" i="42"/>
  <c r="Z48" i="42" s="1"/>
  <c r="U19" i="6"/>
  <c r="Y19" i="6" s="1"/>
  <c r="AB32" i="2"/>
  <c r="H25" i="57" s="1" a="1"/>
  <c r="H25" i="57" s="1"/>
  <c r="AB26" i="2"/>
  <c r="H19" i="57" s="1" a="1"/>
  <c r="H19" i="57" s="1"/>
  <c r="AB22" i="2"/>
  <c r="H15" i="57" s="1" a="1"/>
  <c r="H15" i="57" s="1"/>
  <c r="U36" i="2"/>
  <c r="Y36" i="2" s="1"/>
  <c r="U21" i="7"/>
  <c r="Y21" i="7" s="1"/>
  <c r="U24" i="2"/>
  <c r="Y24" i="2" s="1"/>
  <c r="AB29" i="2"/>
  <c r="H22" i="57" s="1" a="1"/>
  <c r="H22" i="57" s="1"/>
  <c r="AB21" i="2"/>
  <c r="H14" i="57" s="1" a="1"/>
  <c r="H14" i="57" s="1"/>
  <c r="AB32" i="42"/>
  <c r="H558" i="57" s="1" a="1"/>
  <c r="H558" i="57" s="1"/>
  <c r="U35" i="42"/>
  <c r="Y35" i="42" s="1"/>
  <c r="AB27" i="2"/>
  <c r="H20" i="57" s="1" a="1"/>
  <c r="H20" i="57" s="1"/>
  <c r="AB19" i="2"/>
  <c r="H12" i="57" s="1" a="1"/>
  <c r="H12" i="57" s="1"/>
  <c r="G85" i="42"/>
  <c r="H601" i="57" s="1" a="1"/>
  <c r="H601" i="57" s="1"/>
  <c r="G27" i="22"/>
  <c r="H113" i="57" s="1" a="1"/>
  <c r="H113" i="57" s="1"/>
  <c r="AB27" i="42"/>
  <c r="H553" i="57" s="1" a="1"/>
  <c r="H553" i="57" s="1"/>
  <c r="AB44" i="2"/>
  <c r="H37" i="57" s="1" a="1"/>
  <c r="H37" i="57" s="1"/>
  <c r="T17" i="6"/>
  <c r="X17" i="6" s="1"/>
  <c r="G82" i="42"/>
  <c r="H598" i="57" s="1" a="1"/>
  <c r="H598" i="57" s="1"/>
  <c r="G24" i="22"/>
  <c r="H110" i="57" s="1" a="1"/>
  <c r="H110" i="57" s="1"/>
  <c r="U43" i="2"/>
  <c r="Y43" i="2" s="1"/>
  <c r="V25" i="42"/>
  <c r="Z25" i="42" s="1"/>
  <c r="AB30" i="42"/>
  <c r="H556" i="57" s="1" a="1"/>
  <c r="H556" i="57" s="1"/>
  <c r="T24" i="42"/>
  <c r="X24" i="42" s="1"/>
  <c r="V22" i="7"/>
  <c r="Z22" i="7" s="1"/>
  <c r="AB37" i="42"/>
  <c r="H563" i="57" s="1" a="1"/>
  <c r="H563" i="57" s="1"/>
  <c r="AB20" i="42"/>
  <c r="H546" i="57" s="1" a="1"/>
  <c r="H546" i="57" s="1"/>
  <c r="AB18" i="2"/>
  <c r="H11" i="57" s="1" a="1"/>
  <c r="H11" i="57" s="1"/>
  <c r="G83" i="42"/>
  <c r="H599" i="57" s="1" a="1"/>
  <c r="H599" i="57" s="1"/>
  <c r="G25" i="22"/>
  <c r="H111" i="57" s="1" a="1"/>
  <c r="H111" i="57" s="1"/>
  <c r="AA29" i="2"/>
  <c r="W29" i="2"/>
  <c r="U46" i="2"/>
  <c r="Y46" i="2" s="1"/>
  <c r="V46" i="2"/>
  <c r="Z46" i="2" s="1"/>
  <c r="T46" i="2"/>
  <c r="X46" i="2" s="1"/>
  <c r="AB23" i="7"/>
  <c r="H413" i="57" s="1" a="1"/>
  <c r="H413" i="57" s="1"/>
  <c r="G89" i="42"/>
  <c r="H605" i="57" s="1" a="1"/>
  <c r="H605" i="57" s="1"/>
  <c r="G31" i="22"/>
  <c r="H117" i="57" s="1" a="1"/>
  <c r="H117" i="57" s="1"/>
  <c r="T24" i="7"/>
  <c r="X24" i="7" s="1"/>
  <c r="AB18" i="42"/>
  <c r="H544" i="57" s="1" a="1"/>
  <c r="H544" i="57" s="1"/>
  <c r="U24" i="42"/>
  <c r="Y24" i="42" s="1"/>
  <c r="AB28" i="42"/>
  <c r="H554" i="57" s="1" a="1"/>
  <c r="H554" i="57" s="1"/>
  <c r="U45" i="42"/>
  <c r="Y45" i="42" s="1"/>
  <c r="AB40" i="2"/>
  <c r="H33" i="57" s="1" a="1"/>
  <c r="H33" i="57" s="1"/>
  <c r="T16" i="7"/>
  <c r="X16" i="7" s="1"/>
  <c r="AB21" i="42"/>
  <c r="H547" i="57" s="1" a="1"/>
  <c r="H547" i="57" s="1"/>
  <c r="AB31" i="2"/>
  <c r="H24" i="57" s="1" a="1"/>
  <c r="H24" i="57" s="1"/>
  <c r="V46" i="42"/>
  <c r="Z46" i="42" s="1"/>
  <c r="T22" i="7"/>
  <c r="X22" i="7" s="1"/>
  <c r="T18" i="7"/>
  <c r="X18" i="7" s="1"/>
  <c r="V24" i="7"/>
  <c r="Z24" i="7" s="1"/>
  <c r="G84" i="42"/>
  <c r="H600" i="57" s="1" a="1"/>
  <c r="H600" i="57" s="1"/>
  <c r="G26" i="22"/>
  <c r="H112" i="57" s="1" a="1"/>
  <c r="H112" i="57" s="1"/>
  <c r="V18" i="7"/>
  <c r="Z18" i="7" s="1"/>
  <c r="V22" i="6"/>
  <c r="Z22" i="6" s="1"/>
  <c r="T25" i="42"/>
  <c r="X25" i="42" s="1"/>
  <c r="U22" i="6"/>
  <c r="Y22" i="6" s="1"/>
  <c r="T24" i="6"/>
  <c r="X24" i="6" s="1"/>
  <c r="V24" i="6"/>
  <c r="Z24" i="6" s="1"/>
  <c r="G81" i="42"/>
  <c r="H597" i="57" s="1" a="1"/>
  <c r="H597" i="57" s="1"/>
  <c r="G23" i="22"/>
  <c r="H109" i="57" s="1" a="1"/>
  <c r="H109" i="57" s="1"/>
  <c r="T43" i="42"/>
  <c r="X43" i="42" s="1"/>
  <c r="U43" i="42"/>
  <c r="Y43" i="42" s="1"/>
  <c r="V43" i="42"/>
  <c r="Z43" i="42" s="1"/>
  <c r="AB22" i="42"/>
  <c r="H548" i="57" s="1" a="1"/>
  <c r="H548" i="57" s="1"/>
  <c r="AB33" i="2"/>
  <c r="H26" i="57" s="1" a="1"/>
  <c r="H26" i="57" s="1"/>
  <c r="AB28" i="2"/>
  <c r="H21" i="57" s="1" a="1"/>
  <c r="H21" i="57" s="1"/>
  <c r="W23" i="2"/>
  <c r="AB23" i="2"/>
  <c r="H16" i="57" s="1" a="1"/>
  <c r="H16" i="57" s="1"/>
  <c r="AA23" i="2"/>
  <c r="U35" i="2"/>
  <c r="Y35" i="2" s="1"/>
  <c r="T35" i="2"/>
  <c r="X35" i="2" s="1"/>
  <c r="AB41" i="2"/>
  <c r="H34" i="57" s="1" a="1"/>
  <c r="H34" i="57" s="1"/>
  <c r="AA41" i="2"/>
  <c r="W41" i="2"/>
  <c r="V39" i="2"/>
  <c r="Z39" i="2" s="1"/>
  <c r="G87" i="42"/>
  <c r="H603" i="57" s="1" a="1"/>
  <c r="H603" i="57" s="1"/>
  <c r="G29" i="22"/>
  <c r="H115" i="57" s="1" a="1"/>
  <c r="H115" i="57" s="1"/>
  <c r="T39" i="2"/>
  <c r="X39" i="2" s="1"/>
  <c r="V39" i="42"/>
  <c r="Z39" i="42" s="1"/>
  <c r="U39" i="42"/>
  <c r="Y39" i="42" s="1"/>
  <c r="AB16" i="6" l="1"/>
  <c r="H42" i="57" s="1" a="1"/>
  <c r="H42" i="57" s="1"/>
  <c r="AB38" i="2"/>
  <c r="H31" i="57" s="1" a="1"/>
  <c r="H31" i="57" s="1"/>
  <c r="AB16" i="42"/>
  <c r="H542" i="57" s="1" a="1"/>
  <c r="H542" i="57" s="1"/>
  <c r="AB19" i="7"/>
  <c r="H409" i="57" s="1" a="1"/>
  <c r="H409" i="57" s="1"/>
  <c r="AB24" i="2"/>
  <c r="H17" i="57" s="1" a="1"/>
  <c r="H17" i="57" s="1"/>
  <c r="AB38" i="42"/>
  <c r="H564" i="57" s="1" a="1"/>
  <c r="H564" i="57" s="1"/>
  <c r="AB21" i="7"/>
  <c r="H411" i="57" s="1" a="1"/>
  <c r="H411" i="57" s="1"/>
  <c r="AB22" i="7"/>
  <c r="H412" i="57" s="1" a="1"/>
  <c r="H412" i="57" s="1"/>
  <c r="AB44" i="42"/>
  <c r="H570" i="57" s="1" a="1"/>
  <c r="H570" i="57" s="1"/>
  <c r="AB25" i="2"/>
  <c r="H18" i="57" s="1" a="1"/>
  <c r="H18" i="57" s="1"/>
  <c r="D19" i="21"/>
  <c r="L19" i="21" s="1"/>
  <c r="T19" i="21" s="1"/>
  <c r="H58" i="57" s="1" a="1"/>
  <c r="H58" i="57" s="1"/>
  <c r="AB43" i="2"/>
  <c r="H36" i="57" s="1" a="1"/>
  <c r="H36" i="57" s="1"/>
  <c r="D20" i="21"/>
  <c r="L20" i="21" s="1"/>
  <c r="T20" i="21" s="1"/>
  <c r="H59" i="57" s="1" a="1"/>
  <c r="H59" i="57" s="1"/>
  <c r="AB23" i="6"/>
  <c r="H49" i="57" s="1" a="1"/>
  <c r="H49" i="57" s="1"/>
  <c r="AB18" i="6"/>
  <c r="H44" i="57" s="1" a="1"/>
  <c r="H44" i="57" s="1"/>
  <c r="AB16" i="7"/>
  <c r="H406" i="57" s="1" a="1"/>
  <c r="H406" i="57" s="1"/>
  <c r="AB21" i="6"/>
  <c r="H47" i="57" s="1" a="1"/>
  <c r="H47" i="57" s="1"/>
  <c r="AB35" i="42"/>
  <c r="H561" i="57" s="1" a="1"/>
  <c r="H561" i="57" s="1"/>
  <c r="AB46" i="42"/>
  <c r="H572" i="57" s="1" a="1"/>
  <c r="H572" i="57" s="1"/>
  <c r="AB19" i="6"/>
  <c r="H45" i="57" s="1" a="1"/>
  <c r="H45" i="57" s="1"/>
  <c r="AB17" i="2"/>
  <c r="H10" i="57" s="1" a="1"/>
  <c r="H10" i="57" s="1"/>
  <c r="AB25" i="42"/>
  <c r="H551" i="57" s="1" a="1"/>
  <c r="H551" i="57" s="1"/>
  <c r="AB46" i="2"/>
  <c r="H39" i="57" s="1" a="1"/>
  <c r="H39" i="57" s="1"/>
  <c r="AB36" i="2"/>
  <c r="H29" i="57" s="1" a="1"/>
  <c r="H29" i="57" s="1"/>
  <c r="AB17" i="6"/>
  <c r="H43" i="57" s="1" a="1"/>
  <c r="H43" i="57" s="1"/>
  <c r="AB16" i="2"/>
  <c r="H9" i="57" s="1" a="1"/>
  <c r="H9" i="57" s="1"/>
  <c r="AB48" i="42"/>
  <c r="H574" i="57" s="1" a="1"/>
  <c r="H574" i="57" s="1"/>
  <c r="AB45" i="42"/>
  <c r="H571" i="57" s="1" a="1"/>
  <c r="H571" i="57" s="1"/>
  <c r="AB45" i="2"/>
  <c r="H38" i="57" s="1" a="1"/>
  <c r="H38" i="57" s="1"/>
  <c r="AB18" i="7"/>
  <c r="H408" i="57" s="1" a="1"/>
  <c r="H408" i="57" s="1"/>
  <c r="AB35" i="2"/>
  <c r="H28" i="57" s="1" a="1"/>
  <c r="H28" i="57" s="1"/>
  <c r="AB24" i="6"/>
  <c r="H50" i="57" s="1" a="1"/>
  <c r="H50" i="57" s="1"/>
  <c r="AB24" i="7"/>
  <c r="H414" i="57" s="1" a="1"/>
  <c r="H414" i="57" s="1"/>
  <c r="AB22" i="6"/>
  <c r="H48" i="57" s="1" a="1"/>
  <c r="H48" i="57" s="1"/>
  <c r="AB24" i="42"/>
  <c r="H550" i="57" s="1" a="1"/>
  <c r="H550" i="57" s="1"/>
  <c r="AB39" i="42"/>
  <c r="H565" i="57" s="1" a="1"/>
  <c r="H565" i="57" s="1"/>
  <c r="AB39" i="2"/>
  <c r="H32" i="57" s="1" a="1"/>
  <c r="H32" i="57" s="1"/>
  <c r="AB43" i="42"/>
  <c r="H569" i="57" s="1" a="1"/>
  <c r="H569"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E00-000001000000}">
      <text>
        <r>
          <rPr>
            <b/>
            <sz val="8"/>
            <rFont val="Tahoma"/>
            <family val="2"/>
          </rPr>
          <t>The materials are made from virgin stock.</t>
        </r>
      </text>
    </comment>
    <comment ref="E20" authorId="0" shapeId="0" xr:uid="{00000000-0006-0000-1E00-000002000000}">
      <text>
        <r>
          <rPr>
            <b/>
            <sz val="8"/>
            <rFont val="Tahoma"/>
            <family val="2"/>
          </rPr>
          <t>The materials are re-used instead of disposed of by recycling or landfill.</t>
        </r>
      </text>
    </comment>
    <comment ref="F20" authorId="0" shapeId="0" xr:uid="{00000000-0006-0000-1E00-000003000000}">
      <text>
        <r>
          <rPr>
            <b/>
            <sz val="8"/>
            <rFont val="Tahoma"/>
            <family val="2"/>
          </rPr>
          <t>The materials are made from recycled content where the previous product was different to the current product.</t>
        </r>
      </text>
    </comment>
    <comment ref="G20" authorId="0" shapeId="0" xr:uid="{00000000-0006-0000-1E00-000004000000}">
      <text>
        <r>
          <rPr>
            <b/>
            <sz val="8"/>
            <rFont val="Tahoma"/>
            <family val="2"/>
          </rPr>
          <t>The materials  are made from recycled content where the previous product was the same as the new product.</t>
        </r>
      </text>
    </comment>
    <comment ref="B22" authorId="0" shapeId="0" xr:uid="{00000000-0006-0000-1E00-000005000000}">
      <text>
        <r>
          <rPr>
            <b/>
            <sz val="8"/>
            <rFont val="Tahoma"/>
            <family val="2"/>
          </rPr>
          <t>Also known as rubble.</t>
        </r>
      </text>
    </comment>
    <comment ref="D37" authorId="0" shapeId="0" xr:uid="{00000000-0006-0000-1E00-000006000000}">
      <text>
        <r>
          <rPr>
            <b/>
            <sz val="8"/>
            <rFont val="Tahoma"/>
            <family val="2"/>
          </rPr>
          <t>The materials are made from virgin stock.</t>
        </r>
      </text>
    </comment>
    <comment ref="E37" authorId="0" shapeId="0" xr:uid="{00000000-0006-0000-1E00-000007000000}">
      <text>
        <r>
          <rPr>
            <b/>
            <sz val="8"/>
            <rFont val="Tahoma"/>
            <family val="2"/>
          </rPr>
          <t>The materials are re-used instead of disposed of by recycling or landfill.</t>
        </r>
      </text>
    </comment>
    <comment ref="F37" authorId="0" shapeId="0" xr:uid="{00000000-0006-0000-1E00-000008000000}">
      <text>
        <r>
          <rPr>
            <b/>
            <sz val="8"/>
            <rFont val="Tahoma"/>
            <family val="2"/>
          </rPr>
          <t>The materials are made from recycled content where the previous product was different to the current product.</t>
        </r>
      </text>
    </comment>
    <comment ref="G37" authorId="0" shapeId="0" xr:uid="{00000000-0006-0000-1E00-000009000000}">
      <text>
        <r>
          <rPr>
            <b/>
            <sz val="8"/>
            <rFont val="Tahoma"/>
            <family val="2"/>
          </rPr>
          <t>The materials  are made from recycled content where the previous product was the same as the new product.</t>
        </r>
      </text>
    </comment>
    <comment ref="D45" authorId="0" shapeId="0" xr:uid="{00000000-0006-0000-1E00-00000A000000}">
      <text>
        <r>
          <rPr>
            <b/>
            <sz val="8"/>
            <rFont val="Tahoma"/>
            <family val="2"/>
          </rPr>
          <t>The materials are made from virgin stock.</t>
        </r>
      </text>
    </comment>
    <comment ref="E45" authorId="0" shapeId="0" xr:uid="{00000000-0006-0000-1E00-00000B000000}">
      <text>
        <r>
          <rPr>
            <b/>
            <sz val="8"/>
            <rFont val="Tahoma"/>
            <family val="2"/>
          </rPr>
          <t>The materials are re-used instead of disposed of by recycling or landfill.</t>
        </r>
      </text>
    </comment>
    <comment ref="F45" authorId="0" shapeId="0" xr:uid="{00000000-0006-0000-1E00-00000C000000}">
      <text>
        <r>
          <rPr>
            <b/>
            <sz val="8"/>
            <rFont val="Tahoma"/>
            <family val="2"/>
          </rPr>
          <t>The materials are made from recycled content where the previous product was different to the current product.</t>
        </r>
      </text>
    </comment>
    <comment ref="G45" authorId="0" shapeId="0" xr:uid="{00000000-0006-0000-1E00-00000D000000}">
      <text>
        <r>
          <rPr>
            <b/>
            <sz val="8"/>
            <rFont val="Tahoma"/>
            <family val="2"/>
          </rPr>
          <t>The materials  are made from recycled content where the previous product was the same as the new product.</t>
        </r>
      </text>
    </comment>
    <comment ref="D51" authorId="0" shapeId="0" xr:uid="{00000000-0006-0000-1E00-00000E000000}">
      <text>
        <r>
          <rPr>
            <b/>
            <sz val="8"/>
            <rFont val="Tahoma"/>
            <family val="2"/>
          </rPr>
          <t>The materials are made from virgin stock.</t>
        </r>
      </text>
    </comment>
    <comment ref="E51" authorId="0" shapeId="0" xr:uid="{00000000-0006-0000-1E00-00000F000000}">
      <text>
        <r>
          <rPr>
            <b/>
            <sz val="8"/>
            <rFont val="Tahoma"/>
            <family val="2"/>
          </rPr>
          <t>The materials are re-used instead of disposed of by recycling or landfill.</t>
        </r>
      </text>
    </comment>
    <comment ref="F51" authorId="0" shapeId="0" xr:uid="{00000000-0006-0000-1E00-000010000000}">
      <text>
        <r>
          <rPr>
            <b/>
            <sz val="8"/>
            <rFont val="Tahoma"/>
            <family val="2"/>
          </rPr>
          <t>The materials are made from recycled content where the previous product was different to the current product.</t>
        </r>
      </text>
    </comment>
    <comment ref="G51" authorId="0" shapeId="0" xr:uid="{00000000-0006-0000-1E00-000011000000}">
      <text>
        <r>
          <rPr>
            <b/>
            <sz val="8"/>
            <rFont val="Tahoma"/>
            <family val="2"/>
          </rPr>
          <t>The materials  are made from recycled content where the previous product was the same as the new product.</t>
        </r>
      </text>
    </comment>
    <comment ref="B54" authorId="0" shapeId="0" xr:uid="{00000000-0006-0000-1E00-000012000000}">
      <text>
        <r>
          <rPr>
            <b/>
            <sz val="8"/>
            <rFont val="Tahoma"/>
            <family val="2"/>
          </rPr>
          <t>Stationary machines for routine housekeeping tasks e.g. cookers / fridges</t>
        </r>
      </text>
    </comment>
    <comment ref="B58" authorId="0" shapeId="0" xr:uid="{00000000-0006-0000-1E00-000013000000}">
      <text>
        <r>
          <rPr>
            <b/>
            <sz val="8"/>
            <rFont val="Tahoma"/>
            <family val="2"/>
          </rPr>
          <t>Small power equipment</t>
        </r>
      </text>
    </comment>
    <comment ref="B59" authorId="0" shapeId="0" xr:uid="{00000000-0006-0000-1E00-000014000000}">
      <text>
        <r>
          <rPr>
            <b/>
            <sz val="8"/>
            <rFont val="Tahoma"/>
            <family val="2"/>
          </rPr>
          <t>Excludes car batteries</t>
        </r>
      </text>
    </comment>
    <comment ref="D62" authorId="0" shapeId="0" xr:uid="{00000000-0006-0000-1E00-000015000000}">
      <text>
        <r>
          <rPr>
            <b/>
            <sz val="8"/>
            <rFont val="Tahoma"/>
            <family val="2"/>
          </rPr>
          <t>The materials are made from virgin stock.</t>
        </r>
      </text>
    </comment>
    <comment ref="E62" authorId="0" shapeId="0" xr:uid="{00000000-0006-0000-1E00-000016000000}">
      <text>
        <r>
          <rPr>
            <b/>
            <sz val="8"/>
            <rFont val="Tahoma"/>
            <family val="2"/>
          </rPr>
          <t>The materials are re-used instead of disposed of by recycling or landfill.</t>
        </r>
      </text>
    </comment>
    <comment ref="F62" authorId="0" shapeId="0" xr:uid="{00000000-0006-0000-1E00-000017000000}">
      <text>
        <r>
          <rPr>
            <b/>
            <sz val="8"/>
            <rFont val="Tahoma"/>
            <family val="2"/>
          </rPr>
          <t>The materials are made from recycled content where the previous product was different to the current product.</t>
        </r>
      </text>
    </comment>
    <comment ref="G62" authorId="0" shapeId="0" xr:uid="{00000000-0006-0000-1E00-000018000000}">
      <text>
        <r>
          <rPr>
            <b/>
            <sz val="8"/>
            <rFont val="Tahoma"/>
            <family val="2"/>
          </rPr>
          <t>The materials  are made from recycled content where the previous product was the same as the new product.</t>
        </r>
      </text>
    </comment>
    <comment ref="D70" authorId="0" shapeId="0" xr:uid="{00000000-0006-0000-1E00-000019000000}">
      <text>
        <r>
          <rPr>
            <b/>
            <sz val="8"/>
            <rFont val="Tahoma"/>
            <family val="2"/>
          </rPr>
          <t>The materials are made from virgin stock.</t>
        </r>
      </text>
    </comment>
    <comment ref="E70" authorId="0" shapeId="0" xr:uid="{00000000-0006-0000-1E00-00001A000000}">
      <text>
        <r>
          <rPr>
            <b/>
            <sz val="8"/>
            <rFont val="Tahoma"/>
            <family val="2"/>
          </rPr>
          <t>The materials are re-used instead of disposed of by recycling or landfill.</t>
        </r>
      </text>
    </comment>
    <comment ref="F70" authorId="0" shapeId="0" xr:uid="{00000000-0006-0000-1E00-00001B000000}">
      <text>
        <r>
          <rPr>
            <b/>
            <sz val="8"/>
            <rFont val="Tahoma"/>
            <family val="2"/>
          </rPr>
          <t>The materials are made from recycled content where the previous product was different to the current product.</t>
        </r>
      </text>
    </comment>
    <comment ref="G70" authorId="0" shapeId="0" xr:uid="{00000000-0006-0000-1E00-00001C000000}">
      <text>
        <r>
          <rPr>
            <b/>
            <sz val="8"/>
            <rFont val="Tahoma"/>
            <family val="2"/>
          </rPr>
          <t>The materials  are made from recycled content where the previous product was the same as the new product.</t>
        </r>
      </text>
    </comment>
    <comment ref="B75" authorId="0" shapeId="0" xr:uid="{00000000-0006-0000-1E00-00001D000000}">
      <text>
        <r>
          <rPr>
            <b/>
            <sz val="8"/>
            <rFont val="Tahoma"/>
            <family val="2"/>
          </rPr>
          <t>An opaque plastic commonly used for milk bottles</t>
        </r>
      </text>
    </comment>
    <comment ref="B76" authorId="0" shapeId="0" xr:uid="{00000000-0006-0000-1E00-00001E000000}">
      <text>
        <r>
          <rPr>
            <b/>
            <sz val="8"/>
            <rFont val="Tahoma"/>
            <family val="2"/>
          </rPr>
          <t>Packaging material (foils, plastic bags etc.)</t>
        </r>
      </text>
    </comment>
    <comment ref="B77" authorId="0" shapeId="0" xr:uid="{00000000-0006-0000-1E00-00001F000000}">
      <text>
        <r>
          <rPr>
            <b/>
            <sz val="8"/>
            <rFont val="Tahoma"/>
            <family val="2"/>
          </rPr>
          <t>For example clear drink bottles/ sandwich wrappers</t>
        </r>
      </text>
    </comment>
    <comment ref="B78" authorId="0" shapeId="0" xr:uid="{00000000-0006-0000-1E00-000020000000}">
      <text>
        <r>
          <rPr>
            <b/>
            <sz val="8"/>
            <rFont val="Tahoma"/>
            <family val="2"/>
          </rPr>
          <t>Mainly used in injection moulding i.e. for cutlery, containers, and automotive parts</t>
        </r>
      </text>
    </comment>
    <comment ref="B79" authorId="0" shapeId="0" xr:uid="{00000000-0006-0000-1E00-000021000000}">
      <text>
        <r>
          <rPr>
            <b/>
            <sz val="8"/>
            <rFont val="Tahoma"/>
            <family val="2"/>
          </rPr>
          <t>Commonly used for foam based insulation and cheap disposable items i.e. protective packaging and disposable cutlery</t>
        </r>
      </text>
    </comment>
    <comment ref="B80" authorId="0" shapeId="0" xr:uid="{00000000-0006-0000-1E00-000022000000}">
      <text>
        <r>
          <rPr>
            <b/>
            <sz val="8"/>
            <rFont val="Tahoma"/>
            <family val="2"/>
          </rPr>
          <t>Widespread use in building, transport, packaging, electrical/electronic and healthcare applications</t>
        </r>
      </text>
    </comment>
    <comment ref="D83" authorId="0" shapeId="0" xr:uid="{00000000-0006-0000-1E00-000023000000}">
      <text>
        <r>
          <rPr>
            <b/>
            <sz val="8"/>
            <rFont val="Tahoma"/>
            <family val="2"/>
          </rPr>
          <t>The materials are made from virgin stock.</t>
        </r>
      </text>
    </comment>
    <comment ref="E83" authorId="0" shapeId="0" xr:uid="{00000000-0006-0000-1E00-000024000000}">
      <text>
        <r>
          <rPr>
            <b/>
            <sz val="8"/>
            <rFont val="Tahoma"/>
            <family val="2"/>
          </rPr>
          <t>The materials are re-used instead of disposed of by recycling or landfill.</t>
        </r>
      </text>
    </comment>
    <comment ref="F83" authorId="0" shapeId="0" xr:uid="{00000000-0006-0000-1E00-000025000000}">
      <text>
        <r>
          <rPr>
            <b/>
            <sz val="8"/>
            <rFont val="Tahoma"/>
            <family val="2"/>
          </rPr>
          <t>The materials are made from recycled content where the previous product was different to the current product.</t>
        </r>
      </text>
    </comment>
    <comment ref="G83" authorId="0" shapeId="0" xr:uid="{00000000-0006-0000-1E00-000026000000}">
      <text>
        <r>
          <rPr>
            <b/>
            <sz val="8"/>
            <rFont val="Tahoma"/>
            <family val="2"/>
          </rPr>
          <t>The materials  are made from recycled content where the previous product was the same as the new product.</t>
        </r>
      </text>
    </comment>
    <comment ref="B85" authorId="0" shapeId="0" xr:uid="{00000000-0006-0000-1E00-000027000000}">
      <text>
        <r>
          <rPr>
            <b/>
            <sz val="8"/>
            <rFont val="Tahoma"/>
            <family val="2"/>
          </rPr>
          <t>Average: 78% corrugate and 22% cartonboard</t>
        </r>
      </text>
    </comment>
    <comment ref="B86" authorId="0" shapeId="0" xr:uid="{00000000-0006-0000-1E00-000028000000}">
      <text>
        <r>
          <rPr>
            <b/>
            <sz val="8"/>
            <rFont val="Tahoma"/>
            <family val="2"/>
          </rPr>
          <t>Assumes 25% paper, 75% board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F00-000001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F00-000002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F00-000003000000}">
      <text>
        <r>
          <rPr>
            <b/>
            <sz val="8"/>
            <rFont val="Tahoma"/>
            <family val="2"/>
          </rPr>
          <t>Liquid petroleum gas - used to power cooking stoves or heaters off grid and fuel some vehicles (such as, fork-lift trucks/vans).</t>
        </r>
      </text>
    </comment>
    <comment ref="B38" authorId="0" shapeId="0" xr:uid="{00000000-0006-0000-1F00-000004000000}">
      <text>
        <r>
          <rPr>
            <b/>
            <sz val="8"/>
            <rFont val="Tahoma"/>
            <family val="2"/>
          </rPr>
          <t>Standard natural gas received through the gas mains grid network in the UK. Note - contains limited biogas content</t>
        </r>
      </text>
    </comment>
    <comment ref="B42" authorId="1" shapeId="0" xr:uid="{00000000-0006-0000-1F00-000005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F00-000006000000}">
      <text>
        <r>
          <rPr>
            <b/>
            <sz val="8"/>
            <rFont val="Tahoma"/>
            <family val="2"/>
          </rPr>
          <t>Consists mainly of ethane, plus other hydrocarbons, (excludes butane and propane).</t>
        </r>
      </text>
    </comment>
    <comment ref="B58" authorId="0" shapeId="0" xr:uid="{00000000-0006-0000-1F00-000007000000}">
      <text>
        <r>
          <rPr>
            <b/>
            <sz val="8"/>
            <rFont val="Tahoma"/>
            <family val="2"/>
          </rPr>
          <t>Fuel for piston-engined aircraft - a high octane petrol (also known as AVGAS).</t>
        </r>
      </text>
    </comment>
    <comment ref="B62" authorId="0" shapeId="0" xr:uid="{00000000-0006-0000-1F00-000008000000}">
      <text>
        <r>
          <rPr>
            <b/>
            <sz val="8"/>
            <rFont val="Tahoma"/>
            <family val="2"/>
          </rPr>
          <t>Fuel for turbo-prop aircraft and jets (also known as jet fuel). Similar to kerosene used as a heating fuel, but refined to a higher quality.</t>
        </r>
      </text>
    </comment>
    <comment ref="B66" authorId="0" shapeId="0" xr:uid="{00000000-0006-0000-1F00-000009000000}">
      <text>
        <r>
          <rPr>
            <b/>
            <sz val="8"/>
            <rFont val="Tahoma"/>
            <family val="2"/>
          </rPr>
          <t>Main purpose is for heating/lighting on a domestic scale (also known as kerosene).</t>
        </r>
      </text>
    </comment>
    <comment ref="B70" authorId="0" shapeId="0" xr:uid="{00000000-0006-0000-1F00-00000A000000}">
      <text>
        <r>
          <rPr>
            <b/>
            <sz val="8"/>
            <rFont val="Tahoma"/>
            <family val="2"/>
          </rPr>
          <t>Standard diesel bought from any local filling station (across the board forecourt fuel typically contains biofuel content).</t>
        </r>
      </text>
    </comment>
    <comment ref="B74" authorId="0" shapeId="0" xr:uid="{00000000-0006-0000-1F00-00000B000000}">
      <text>
        <r>
          <rPr>
            <b/>
            <sz val="8"/>
            <rFont val="Tahoma"/>
            <family val="2"/>
          </rPr>
          <t>Diesel that has not been blended with biofuel (non-forecourt diesel).</t>
        </r>
      </text>
    </comment>
    <comment ref="B78" authorId="0" shapeId="0" xr:uid="{00000000-0006-0000-1F00-00000C000000}">
      <text>
        <r>
          <rPr>
            <b/>
            <sz val="8"/>
            <rFont val="Tahoma"/>
            <family val="2"/>
          </rPr>
          <t>Heavy oil used as fuel in furnaces and boilers of power stations, industry, industrial heating and in ships.</t>
        </r>
      </text>
    </comment>
    <comment ref="B82" authorId="0" shapeId="0" xr:uid="{00000000-0006-0000-1F00-00000D000000}">
      <text>
        <r>
          <rPr>
            <b/>
            <sz val="8"/>
            <rFont val="Tahoma"/>
            <family val="2"/>
          </rPr>
          <t>Medium oil used in diesel engines and heating systems (also known as red diesel).</t>
        </r>
      </text>
    </comment>
    <comment ref="B90" authorId="0" shapeId="0" xr:uid="{00000000-0006-0000-1F00-00000E000000}">
      <text>
        <r>
          <rPr>
            <b/>
            <sz val="8"/>
            <rFont val="Tahoma"/>
            <family val="2"/>
          </rPr>
          <t>A product of crude oil refining - often used as a solvent.</t>
        </r>
      </text>
    </comment>
    <comment ref="B94" authorId="0" shapeId="0" xr:uid="{00000000-0006-0000-1F00-00000F000000}">
      <text>
        <r>
          <rPr>
            <b/>
            <sz val="8"/>
            <rFont val="Tahoma"/>
            <family val="2"/>
          </rPr>
          <t>Standard petrol bought from any local filling station (across the board forecourt fuel typically contains biofuel content).</t>
        </r>
      </text>
    </comment>
    <comment ref="B98" authorId="0" shapeId="0" xr:uid="{00000000-0006-0000-1F00-000010000000}">
      <text>
        <r>
          <rPr>
            <b/>
            <sz val="8"/>
            <rFont val="Tahoma"/>
            <family val="2"/>
          </rPr>
          <t>Petrol that has not been blended with biofuel (non-forecourt petrol).</t>
        </r>
      </text>
    </comment>
    <comment ref="B102" authorId="0" shapeId="0" xr:uid="{00000000-0006-0000-1F00-000011000000}">
      <text>
        <r>
          <rPr>
            <b/>
            <sz val="8"/>
            <rFont val="Tahoma"/>
            <family val="2"/>
          </rPr>
          <t>Waste oils meeting the 'residual' oil definition contained in the 'Processed Fuel Oil Quality Protocol'.</t>
        </r>
      </text>
    </comment>
    <comment ref="B106" authorId="0" shapeId="0" xr:uid="{00000000-0006-0000-1F00-000012000000}">
      <text>
        <r>
          <rPr>
            <b/>
            <sz val="8"/>
            <rFont val="Tahoma"/>
            <family val="2"/>
          </rPr>
          <t>Waste oils meeting the 'distillate' oil definition contained in the 'Processed Fuel Oil Quality Protocol'.</t>
        </r>
      </text>
    </comment>
    <comment ref="B114" authorId="0" shapeId="0" xr:uid="{00000000-0006-0000-1F00-000013000000}">
      <text>
        <r>
          <rPr>
            <b/>
            <sz val="8"/>
            <rFont val="Tahoma"/>
            <family val="2"/>
          </rPr>
          <t>Recycled oils outside of the 'Processed Fuel Oil Quality Protocol' definitions.</t>
        </r>
      </text>
    </comment>
    <comment ref="B118" authorId="0" shapeId="0" xr:uid="{00000000-0006-0000-1F00-000014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F00-000015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F00-000016000000}">
      <text>
        <r>
          <rPr>
            <b/>
            <sz val="8"/>
            <rFont val="Tahoma"/>
            <family val="2"/>
          </rPr>
          <t>Coal used in sources other than power stations and domestic use.</t>
        </r>
      </text>
    </comment>
    <comment ref="B133" authorId="0" shapeId="0" xr:uid="{00000000-0006-0000-1F00-000017000000}">
      <text>
        <r>
          <rPr>
            <b/>
            <sz val="8"/>
            <rFont val="Tahoma"/>
            <family val="2"/>
          </rPr>
          <t>Coal used in power stations to generate electricity.</t>
        </r>
      </text>
    </comment>
    <comment ref="B136" authorId="0" shapeId="0" xr:uid="{00000000-0006-0000-1F00-000018000000}">
      <text>
        <r>
          <rPr>
            <b/>
            <sz val="8"/>
            <rFont val="Tahoma"/>
            <family val="2"/>
          </rPr>
          <t>Coal used domestically.</t>
        </r>
      </text>
    </comment>
    <comment ref="B139" authorId="0" shapeId="0" xr:uid="{00000000-0006-0000-1F00-000019000000}">
      <text>
        <r>
          <rPr>
            <b/>
            <sz val="8"/>
            <rFont val="Tahoma"/>
            <family val="2"/>
          </rPr>
          <t>Coke may be used as a heating fuel and as a reducing agent in a blast furnace.</t>
        </r>
      </text>
    </comment>
    <comment ref="B142" authorId="0" shapeId="0" xr:uid="{00000000-0006-0000-1F00-00001A000000}">
      <text>
        <r>
          <rPr>
            <b/>
            <sz val="8"/>
            <rFont val="Tahoma"/>
            <family val="2"/>
          </rPr>
          <t>Normally used in cement manufacture and power plants.</t>
        </r>
      </text>
    </comment>
    <comment ref="B145" authorId="0" shapeId="0" xr:uid="{00000000-0006-0000-1F00-00001B000000}">
      <text>
        <r>
          <rPr>
            <b/>
            <sz val="8"/>
            <rFont val="Tahoma"/>
            <family val="2"/>
          </rPr>
          <t>Coal used in power stations to generate electricity (only for coal produced in the UK).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2000-000001000000}">
      <text>
        <r>
          <rPr>
            <b/>
            <sz val="8"/>
            <rFont val="Tahoma"/>
            <family val="2"/>
          </rPr>
          <t>Renewable fuel derived from common crops (such as potatoes and sugar cane).</t>
        </r>
      </text>
    </comment>
    <comment ref="B22" authorId="0" shapeId="0" xr:uid="{00000000-0006-0000-2000-000002000000}">
      <text>
        <r>
          <rPr>
            <b/>
            <sz val="8"/>
            <rFont val="Tahoma"/>
            <family val="2"/>
          </rPr>
          <t>Renewable fuel derived from common natural oils (such as vegetable oil).</t>
        </r>
      </text>
    </comment>
    <comment ref="B25" authorId="0" shapeId="0" xr:uid="{00000000-0006-0000-2000-000003000000}">
      <text>
        <r>
          <rPr>
            <b/>
            <sz val="8"/>
            <rFont val="Tahoma"/>
            <family val="2"/>
          </rPr>
          <t>The specific methane part of biogas (biogas comes from anaerobic digestion of organic matter).</t>
        </r>
      </text>
    </comment>
    <comment ref="B28" authorId="0" shapeId="0" xr:uid="{00000000-0006-0000-2000-000004000000}">
      <text>
        <r>
          <rPr>
            <b/>
            <sz val="8"/>
            <rFont val="Tahoma"/>
            <family val="2"/>
          </rPr>
          <t>Renewable fuel almost exclusively derived from common natural oils (such as vegetable oils).</t>
        </r>
      </text>
    </comment>
    <comment ref="B31" authorId="0" shapeId="0" xr:uid="{00000000-0006-0000-2000-000005000000}">
      <text>
        <r>
          <rPr>
            <b/>
            <sz val="8"/>
            <rFont val="Tahoma"/>
            <family val="2"/>
          </rPr>
          <t>Renewable fuel almost exclusively derived from common natural oils (such as vegetable oils).</t>
        </r>
      </text>
    </comment>
    <comment ref="B40" authorId="1" shapeId="0" xr:uid="{00000000-0006-0000-2000-000006000000}">
      <text>
        <r>
          <rPr>
            <b/>
            <sz val="9"/>
            <color indexed="81"/>
            <rFont val="Tahoma"/>
            <family val="2"/>
          </rPr>
          <t>Derived from sustainable wastes and residues other than used cooking oil and tallow.</t>
        </r>
      </text>
    </comment>
    <comment ref="B43" authorId="1" shapeId="0" xr:uid="{00000000-0006-0000-2000-000007000000}">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00000000-0006-0000-2000-000008000000}">
      <text>
        <r>
          <rPr>
            <b/>
            <sz val="9"/>
            <color indexed="81"/>
            <rFont val="Tahoma"/>
            <family val="2"/>
          </rPr>
          <t>Sustainable aviation fuel derived wholly from biomass.</t>
        </r>
      </text>
    </comment>
    <comment ref="B66" authorId="0" shapeId="0" xr:uid="{00000000-0006-0000-2000-000009000000}">
      <text>
        <r>
          <rPr>
            <b/>
            <sz val="8"/>
            <rFont val="Tahoma"/>
            <family val="2"/>
          </rPr>
          <t>Compressed low-quality wood (such as sawdust and shavings that are made into pellet form).</t>
        </r>
      </text>
    </comment>
    <comment ref="B74" authorId="0" shapeId="0" xr:uid="{00000000-0006-0000-2000-00000A000000}">
      <text>
        <r>
          <rPr>
            <b/>
            <sz val="8"/>
            <rFont val="Tahoma"/>
            <family val="2"/>
          </rPr>
          <t>A naturally occurring gas from the anaerobic digestion of organic materials (such as sewage and food waste).</t>
        </r>
      </text>
    </comment>
    <comment ref="B76" authorId="0" shapeId="0" xr:uid="{00000000-0006-0000-2000-00000B000000}">
      <text>
        <r>
          <rPr>
            <b/>
            <sz val="8"/>
            <rFont val="Tahoma"/>
            <family val="2"/>
          </rPr>
          <t>Gas collected from a landfill site. This may be used for electricity generation or be flared off.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2400-000001000000}">
      <text>
        <r>
          <rPr>
            <b/>
            <sz val="8"/>
            <rFont val="Tahoma"/>
            <family val="2"/>
          </rPr>
          <t>Including indirect effects of non-CO2 emissions</t>
        </r>
      </text>
    </comment>
    <comment ref="I21" authorId="0" shapeId="0" xr:uid="{00000000-0006-0000-2400-000002000000}">
      <text>
        <r>
          <rPr>
            <b/>
            <sz val="8"/>
            <rFont val="Tahoma"/>
            <family val="2"/>
          </rPr>
          <t>Direct effects of CO2, CH4 and N2O emissions only</t>
        </r>
      </text>
    </comment>
    <comment ref="B23" authorId="0" shapeId="0" xr:uid="{00000000-0006-0000-2400-000003000000}">
      <text>
        <r>
          <rPr>
            <b/>
            <sz val="8"/>
            <rFont val="Tahoma"/>
            <family val="2"/>
          </rPr>
          <t>Domestic flights are those between UK airports.</t>
        </r>
      </text>
    </comment>
    <comment ref="D23" authorId="0" shapeId="0" xr:uid="{00000000-0006-0000-2400-000004000000}">
      <text>
        <r>
          <rPr>
            <b/>
            <sz val="8"/>
            <rFont val="Tahoma"/>
            <family val="2"/>
          </rPr>
          <t>The distance travelled by individual passengers per transport mode.</t>
        </r>
      </text>
    </comment>
    <comment ref="B24" authorId="0" shapeId="0" xr:uid="{00000000-0006-0000-2400-000005000000}">
      <text>
        <r>
          <rPr>
            <b/>
            <sz val="8"/>
            <rFont val="Tahoma"/>
            <family val="2"/>
          </rPr>
          <t>International flights to/from the UK, typically to Europe (up to 3700km distance).</t>
        </r>
      </text>
    </comment>
    <comment ref="D24" authorId="1" shapeId="0" xr:uid="{00000000-0006-0000-2400-000006000000}">
      <text>
        <r>
          <rPr>
            <b/>
            <sz val="8"/>
            <color indexed="81"/>
            <rFont val="Tahoma"/>
            <family val="2"/>
          </rPr>
          <t>The distance travelled by individual passengers per transport mode.</t>
        </r>
      </text>
    </comment>
    <comment ref="D25" authorId="1" shapeId="0" xr:uid="{00000000-0006-0000-2400-000007000000}">
      <text>
        <r>
          <rPr>
            <b/>
            <sz val="8"/>
            <color indexed="81"/>
            <rFont val="Tahoma"/>
            <family val="2"/>
          </rPr>
          <t>The distance travelled by individual passengers per transport mode.</t>
        </r>
      </text>
    </comment>
    <comment ref="D26" authorId="1" shapeId="0" xr:uid="{00000000-0006-0000-2400-000008000000}">
      <text>
        <r>
          <rPr>
            <b/>
            <sz val="8"/>
            <color indexed="81"/>
            <rFont val="Tahoma"/>
            <family val="2"/>
          </rPr>
          <t>The distance travelled by individual passengers per transport mode.</t>
        </r>
      </text>
    </comment>
    <comment ref="B27" authorId="0" shapeId="0" xr:uid="{00000000-0006-0000-2400-000009000000}">
      <text>
        <r>
          <rPr>
            <b/>
            <sz val="8"/>
            <rFont val="Tahoma"/>
            <family val="2"/>
          </rPr>
          <t>Long-haul international flights to/from the UK, typically to non-European destinations (over 3700km distance).</t>
        </r>
      </text>
    </comment>
    <comment ref="D27" authorId="1" shapeId="0" xr:uid="{00000000-0006-0000-2400-00000A000000}">
      <text>
        <r>
          <rPr>
            <b/>
            <sz val="8"/>
            <color indexed="81"/>
            <rFont val="Tahoma"/>
            <family val="2"/>
          </rPr>
          <t>The distance travelled by individual passengers per transport mode.</t>
        </r>
      </text>
    </comment>
    <comment ref="D28" authorId="1" shapeId="0" xr:uid="{00000000-0006-0000-2400-00000B000000}">
      <text>
        <r>
          <rPr>
            <b/>
            <sz val="8"/>
            <color indexed="81"/>
            <rFont val="Tahoma"/>
            <family val="2"/>
          </rPr>
          <t>The distance travelled by individual passengers per transport mode.</t>
        </r>
      </text>
    </comment>
    <comment ref="D29" authorId="1" shapeId="0" xr:uid="{00000000-0006-0000-2400-00000C000000}">
      <text>
        <r>
          <rPr>
            <b/>
            <sz val="8"/>
            <color indexed="81"/>
            <rFont val="Tahoma"/>
            <family val="2"/>
          </rPr>
          <t>The distance travelled by individual passengers per transport mode.</t>
        </r>
      </text>
    </comment>
    <comment ref="D30" authorId="1" shapeId="0" xr:uid="{00000000-0006-0000-2400-00000D000000}">
      <text>
        <r>
          <rPr>
            <b/>
            <sz val="8"/>
            <color indexed="81"/>
            <rFont val="Tahoma"/>
            <family val="2"/>
          </rPr>
          <t>The distance travelled by individual passengers per transport mode.</t>
        </r>
      </text>
    </comment>
    <comment ref="D31" authorId="1" shapeId="0" xr:uid="{00000000-0006-0000-2400-00000E000000}">
      <text>
        <r>
          <rPr>
            <b/>
            <sz val="8"/>
            <color indexed="81"/>
            <rFont val="Tahoma"/>
            <family val="2"/>
          </rPr>
          <t>The distance travelled by individual passengers per transport mode.</t>
        </r>
      </text>
    </comment>
    <comment ref="B32" authorId="0" shapeId="0" xr:uid="{00000000-0006-0000-2400-00000F000000}">
      <text>
        <r>
          <rPr>
            <b/>
            <sz val="8"/>
            <rFont val="Tahoma"/>
            <family val="2"/>
          </rPr>
          <t>International flights to/from non-UK countries.</t>
        </r>
      </text>
    </comment>
    <comment ref="D32" authorId="1" shapeId="0" xr:uid="{00000000-0006-0000-2400-000010000000}">
      <text>
        <r>
          <rPr>
            <b/>
            <sz val="8"/>
            <color indexed="81"/>
            <rFont val="Tahoma"/>
            <family val="2"/>
          </rPr>
          <t>The distance travelled by individual passengers per transport mode.</t>
        </r>
      </text>
    </comment>
    <comment ref="D33" authorId="1" shapeId="0" xr:uid="{00000000-0006-0000-2400-000011000000}">
      <text>
        <r>
          <rPr>
            <b/>
            <sz val="8"/>
            <color indexed="81"/>
            <rFont val="Tahoma"/>
            <family val="2"/>
          </rPr>
          <t>The distance travelled by individual passengers per transport mode.</t>
        </r>
      </text>
    </comment>
    <comment ref="D34" authorId="1" shapeId="0" xr:uid="{00000000-0006-0000-2400-000012000000}">
      <text>
        <r>
          <rPr>
            <b/>
            <sz val="8"/>
            <color indexed="81"/>
            <rFont val="Tahoma"/>
            <family val="2"/>
          </rPr>
          <t>The distance travelled by individual passengers per transport mode.</t>
        </r>
      </text>
    </comment>
    <comment ref="D35" authorId="1" shapeId="0" xr:uid="{00000000-0006-0000-2400-000013000000}">
      <text>
        <r>
          <rPr>
            <b/>
            <sz val="8"/>
            <color indexed="81"/>
            <rFont val="Tahoma"/>
            <family val="2"/>
          </rPr>
          <t>The distance travelled by individual passengers per transport mode.</t>
        </r>
      </text>
    </comment>
    <comment ref="D36" authorId="1" shapeId="0" xr:uid="{00000000-0006-0000-2400-000014000000}">
      <text>
        <r>
          <rPr>
            <b/>
            <sz val="8"/>
            <color indexed="81"/>
            <rFont val="Tahoma"/>
            <family val="2"/>
          </rPr>
          <t>The distance travelled by individual passengers per transport mode.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00000000-0006-0000-2500-000001000000}">
      <text>
        <r>
          <rPr>
            <b/>
            <sz val="8"/>
            <rFont val="Tahoma"/>
            <family val="2"/>
          </rPr>
          <t>A vehicle with two power sources, typically petrol and electric</t>
        </r>
      </text>
    </comment>
    <comment ref="P23" authorId="0" shapeId="0" xr:uid="{00000000-0006-0000-2500-000002000000}">
      <text>
        <r>
          <rPr>
            <b/>
            <sz val="8"/>
            <rFont val="Tahoma"/>
            <family val="2"/>
          </rPr>
          <t>A compressed version of the same natural gas you receive in the home.  When compressed can be used as an alternative vehicle fuel.</t>
        </r>
      </text>
    </comment>
    <comment ref="T23" authorId="0" shapeId="0" xr:uid="{00000000-0006-0000-2500-000003000000}">
      <text>
        <r>
          <rPr>
            <b/>
            <sz val="8"/>
            <rFont val="Tahoma"/>
            <family val="2"/>
          </rPr>
          <t>Alternative fuel stored in gas tanks.  Often known as 'autogas'.</t>
        </r>
      </text>
    </comment>
    <comment ref="B25" authorId="1" shapeId="0" xr:uid="{00000000-0006-0000-2500-000004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500-000005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500-000006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500-000007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500-000008000000}">
      <text>
        <r>
          <rPr>
            <sz val="8"/>
            <color indexed="81"/>
            <rFont val="Tahoma"/>
            <family val="2"/>
          </rPr>
          <t>These are large cars. Examples include: BMW 5 Series, Audi A5 and A6, Mercedes Benz E Class and Skoda Superb.</t>
        </r>
      </text>
    </comment>
    <comment ref="B35" authorId="1" shapeId="0" xr:uid="{00000000-0006-0000-2500-000009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500-00000A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500-00000B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500-00000C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500-00000D000000}">
      <text>
        <r>
          <rPr>
            <b/>
            <sz val="8"/>
            <rFont val="Tahoma"/>
            <family val="2"/>
          </rPr>
          <t>A vehicle with two power sources, typically petrol and electric</t>
        </r>
      </text>
    </comment>
    <comment ref="P45" authorId="0" shapeId="0" xr:uid="{00000000-0006-0000-2500-00000E000000}">
      <text>
        <r>
          <rPr>
            <b/>
            <sz val="8"/>
            <rFont val="Tahoma"/>
            <family val="2"/>
          </rPr>
          <t>A compressed version of the same natural gas you receive in the home.  When compressed can be used as an alternative vehicle fuel.</t>
        </r>
      </text>
    </comment>
    <comment ref="T45" authorId="0" shapeId="0" xr:uid="{00000000-0006-0000-2500-00000F000000}">
      <text>
        <r>
          <rPr>
            <b/>
            <sz val="8"/>
            <rFont val="Tahoma"/>
            <family val="2"/>
          </rPr>
          <t>Alternative fuel stored in gas tanks.  Often known as 'autogas'.</t>
        </r>
      </text>
    </comment>
    <comment ref="B47" authorId="0" shapeId="0" xr:uid="{00000000-0006-0000-2500-000010000000}">
      <text>
        <r>
          <rPr>
            <b/>
            <sz val="8"/>
            <rFont val="Tahoma"/>
            <family val="2"/>
          </rPr>
          <t>Petrol/LPG/CNG - up to a 1.4-litre engine
Diesel - up to a 1.7-litre engine
Others - vehicles models of a similar size (i.e. market segment A or B)</t>
        </r>
      </text>
    </comment>
    <comment ref="B49" authorId="0" shapeId="0" xr:uid="{00000000-0006-0000-2500-000011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500-000012000000}">
      <text>
        <r>
          <rPr>
            <b/>
            <sz val="8"/>
            <rFont val="Tahoma"/>
            <family val="2"/>
          </rPr>
          <t>Petrol/LPG/CNG - 2.0-litre engine +
Diesel - 2.0-litre engine +
Others - vehicles models of a similar size (i.e. generally market segment D and above)</t>
        </r>
      </text>
    </comment>
    <comment ref="B53" authorId="0" shapeId="0" xr:uid="{00000000-0006-0000-2500-000013000000}">
      <text>
        <r>
          <rPr>
            <b/>
            <sz val="8"/>
            <rFont val="Tahoma"/>
            <family val="2"/>
          </rPr>
          <t>Unknown engine size.</t>
        </r>
      </text>
    </comment>
    <comment ref="C71" authorId="0" shapeId="0" xr:uid="{00000000-0006-0000-2500-000014000000}">
      <text>
        <r>
          <rPr>
            <b/>
            <sz val="8"/>
            <rFont val="Tahoma"/>
            <family val="2"/>
          </rPr>
          <t>The distance travelled by individual passengers a transport mode</t>
        </r>
      </text>
    </comment>
    <comment ref="C73" authorId="0" shapeId="0" xr:uid="{00000000-0006-0000-2500-000015000000}">
      <text>
        <r>
          <rPr>
            <b/>
            <sz val="8"/>
            <rFont val="Tahoma"/>
            <family val="2"/>
          </rPr>
          <t>The distance travelled by individual passengers a transport mode</t>
        </r>
      </text>
    </comment>
    <comment ref="C79" authorId="0" shapeId="0" xr:uid="{00000000-0006-0000-2500-000016000000}">
      <text>
        <r>
          <rPr>
            <b/>
            <sz val="8"/>
            <rFont val="Tahoma"/>
            <family val="2"/>
          </rPr>
          <t>The distance travelled by individual passengers a transport mode</t>
        </r>
      </text>
    </comment>
    <comment ref="C80" authorId="0" shapeId="0" xr:uid="{00000000-0006-0000-2500-000017000000}">
      <text>
        <r>
          <rPr>
            <b/>
            <sz val="8"/>
            <rFont val="Tahoma"/>
            <family val="2"/>
          </rPr>
          <t>The distance travelled by individual passengers a transport mode</t>
        </r>
      </text>
    </comment>
    <comment ref="C81" authorId="0" shapeId="0" xr:uid="{00000000-0006-0000-2500-000018000000}">
      <text>
        <r>
          <rPr>
            <b/>
            <sz val="8"/>
            <rFont val="Tahoma"/>
            <family val="2"/>
          </rPr>
          <t>The distance travelled by individual passengers a transport mode</t>
        </r>
      </text>
    </comment>
    <comment ref="C82" authorId="0" shapeId="0" xr:uid="{00000000-0006-0000-2500-000019000000}">
      <text>
        <r>
          <rPr>
            <b/>
            <sz val="8"/>
            <rFont val="Tahoma"/>
            <family val="2"/>
          </rPr>
          <t>The distance travelled by individual passengers a transport mode</t>
        </r>
      </text>
    </comment>
    <comment ref="C87" authorId="0" shapeId="0" xr:uid="{00000000-0006-0000-2500-00001A000000}">
      <text>
        <r>
          <rPr>
            <b/>
            <sz val="8"/>
            <rFont val="Tahoma"/>
            <family val="2"/>
          </rPr>
          <t>The distance travelled by individual passengers a transport mode</t>
        </r>
      </text>
    </comment>
    <comment ref="C88" authorId="0" shapeId="0" xr:uid="{00000000-0006-0000-2500-00001B000000}">
      <text>
        <r>
          <rPr>
            <b/>
            <sz val="8"/>
            <rFont val="Tahoma"/>
            <family val="2"/>
          </rPr>
          <t>The distance travelled by individual passengers a transport mode</t>
        </r>
      </text>
    </comment>
    <comment ref="C89" authorId="0" shapeId="0" xr:uid="{00000000-0006-0000-2500-00001C000000}">
      <text>
        <r>
          <rPr>
            <b/>
            <sz val="8"/>
            <rFont val="Tahoma"/>
            <family val="2"/>
          </rPr>
          <t>The distance travelled by individual passengers a transport mode</t>
        </r>
      </text>
    </comment>
    <comment ref="C90" authorId="0" shapeId="0" xr:uid="{00000000-0006-0000-2500-00001D000000}">
      <text>
        <r>
          <rPr>
            <b/>
            <sz val="8"/>
            <rFont val="Tahoma"/>
            <family val="2"/>
          </rPr>
          <t>The distance travelled by individual passengers a transport mode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00000000-0006-0000-2600-000001000000}">
      <text>
        <r>
          <rPr>
            <b/>
            <sz val="8"/>
            <rFont val="Tahoma"/>
            <family val="2"/>
          </rPr>
          <t>A vehicle with two power sources, typically petrol and electric</t>
        </r>
      </text>
    </comment>
    <comment ref="P24" authorId="0" shapeId="0" xr:uid="{00000000-0006-0000-2600-000002000000}">
      <text>
        <r>
          <rPr>
            <b/>
            <sz val="8"/>
            <rFont val="Tahoma"/>
            <family val="2"/>
          </rPr>
          <t>A compressed version of the same natural gas you receive in the home.  When compressed can be used as an alternative vehicle fuel.</t>
        </r>
      </text>
    </comment>
    <comment ref="T24" authorId="0" shapeId="0" xr:uid="{00000000-0006-0000-2600-000003000000}">
      <text>
        <r>
          <rPr>
            <b/>
            <sz val="8"/>
            <rFont val="Tahoma"/>
            <family val="2"/>
          </rPr>
          <t>Alternative fuel stored in gas tanks.  Often known as 'autogas'.</t>
        </r>
      </text>
    </comment>
    <comment ref="B26" authorId="1" shapeId="0" xr:uid="{00000000-0006-0000-2600-000004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2600-000005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2600-000006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2600-000007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2600-000008000000}">
      <text>
        <r>
          <rPr>
            <sz val="8"/>
            <color indexed="81"/>
            <rFont val="Tahoma"/>
            <family val="2"/>
          </rPr>
          <t>These are large cars. Examples include: BMW 5 Series, Audi A5 and A6, Mercedes Benz E Class and Skoda Superb.</t>
        </r>
      </text>
    </comment>
    <comment ref="B36" authorId="1" shapeId="0" xr:uid="{00000000-0006-0000-2600-000009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2600-00000A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2600-00000B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2600-00000C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2600-00000D000000}">
      <text>
        <r>
          <rPr>
            <b/>
            <sz val="8"/>
            <rFont val="Tahoma"/>
            <family val="2"/>
          </rPr>
          <t>A vehicle with two power sources, typically petrol and electric</t>
        </r>
      </text>
    </comment>
    <comment ref="P46" authorId="0" shapeId="0" xr:uid="{00000000-0006-0000-2600-00000E000000}">
      <text>
        <r>
          <rPr>
            <b/>
            <sz val="8"/>
            <rFont val="Tahoma"/>
            <family val="2"/>
          </rPr>
          <t>A compressed version of the same natural gas you receive in the home.  When compressed can be used as an alternative vehicle fuel.</t>
        </r>
      </text>
    </comment>
    <comment ref="T46" authorId="0" shapeId="0" xr:uid="{00000000-0006-0000-2600-00000F000000}">
      <text>
        <r>
          <rPr>
            <b/>
            <sz val="8"/>
            <rFont val="Tahoma"/>
            <family val="2"/>
          </rPr>
          <t>Alternative fuel stored in gas tanks.  Often known as 'autogas'.</t>
        </r>
      </text>
    </comment>
    <comment ref="B48" authorId="0" shapeId="0" xr:uid="{00000000-0006-0000-2600-000010000000}">
      <text>
        <r>
          <rPr>
            <b/>
            <sz val="8"/>
            <rFont val="Tahoma"/>
            <family val="2"/>
          </rPr>
          <t>Petrol/LPG/CNG - up to a 1.4-litre engine
Diesel - up to a 1.7-litre engine
Others - vehicles models of a similar size (i.e. market segment A or B)</t>
        </r>
      </text>
    </comment>
    <comment ref="B50" authorId="0" shapeId="0" xr:uid="{00000000-0006-0000-2600-000011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2600-000012000000}">
      <text>
        <r>
          <rPr>
            <b/>
            <sz val="8"/>
            <rFont val="Tahoma"/>
            <family val="2"/>
          </rPr>
          <t>Petrol/LPG/CNG - 2.0-litre engine +
Diesel - 2.0-litre engine +
Others - vehicles models of a similar size (i.e. generally market segment D and above)</t>
        </r>
      </text>
    </comment>
    <comment ref="B54" authorId="0" shapeId="0" xr:uid="{00000000-0006-0000-2600-000013000000}">
      <text>
        <r>
          <rPr>
            <b/>
            <sz val="8"/>
            <rFont val="Tahoma"/>
            <family val="2"/>
          </rPr>
          <t>Unknown engine size.</t>
        </r>
      </text>
    </comment>
    <comment ref="B60" authorId="0" shapeId="0" xr:uid="{00000000-0006-0000-2600-000014000000}">
      <text>
        <r>
          <rPr>
            <b/>
            <sz val="8"/>
            <rFont val="Tahoma"/>
            <family val="2"/>
          </rPr>
          <t>Mopeds/scooters up to 125cc.</t>
        </r>
      </text>
    </comment>
    <comment ref="B62" authorId="0" shapeId="0" xr:uid="{00000000-0006-0000-2600-000015000000}">
      <text>
        <r>
          <rPr>
            <b/>
            <sz val="8"/>
            <rFont val="Tahoma"/>
            <family val="2"/>
          </rPr>
          <t>125cc to 500cc</t>
        </r>
      </text>
    </comment>
    <comment ref="B64" authorId="0" shapeId="0" xr:uid="{00000000-0006-0000-2600-000016000000}">
      <text>
        <r>
          <rPr>
            <b/>
            <sz val="8"/>
            <rFont val="Tahoma"/>
            <family val="2"/>
          </rPr>
          <t>500cc +</t>
        </r>
      </text>
    </comment>
    <comment ref="B66" authorId="0" shapeId="0" xr:uid="{00000000-0006-0000-2600-000017000000}">
      <text>
        <r>
          <rPr>
            <b/>
            <sz val="8"/>
            <rFont val="Tahoma"/>
            <family val="2"/>
          </rPr>
          <t>Unknown engine size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800-000001000000}">
      <text>
        <r>
          <rPr>
            <b/>
            <sz val="8"/>
            <rFont val="Tahoma"/>
            <family val="2"/>
          </rPr>
          <t>A compressed version of the same natural gas you receive in the home.  Used as an alternative vehicle fuel.</t>
        </r>
      </text>
    </comment>
    <comment ref="P24" authorId="0" shapeId="0" xr:uid="{00000000-0006-0000-2800-000002000000}">
      <text>
        <r>
          <rPr>
            <b/>
            <sz val="8"/>
            <rFont val="Tahoma"/>
            <family val="2"/>
          </rPr>
          <t>Alternative fuel stored in gas tanks.  Often known as 'autogas'.</t>
        </r>
      </text>
    </comment>
    <comment ref="C26" authorId="0" shapeId="0" xr:uid="{00000000-0006-0000-2800-000003000000}">
      <text>
        <r>
          <rPr>
            <b/>
            <sz val="8"/>
            <rFont val="Tahoma"/>
            <family val="2"/>
          </rPr>
          <t>An equivalent measure of one tonne of transported goods over one km.</t>
        </r>
      </text>
    </comment>
    <comment ref="C29" authorId="0" shapeId="0" xr:uid="{00000000-0006-0000-2800-000004000000}">
      <text>
        <r>
          <rPr>
            <b/>
            <sz val="8"/>
            <rFont val="Tahoma"/>
            <family val="2"/>
          </rPr>
          <t>An equivalent measure of one tonne of transported goods over one km.</t>
        </r>
      </text>
    </comment>
    <comment ref="C32" authorId="0" shapeId="0" xr:uid="{00000000-0006-0000-2800-000005000000}">
      <text>
        <r>
          <rPr>
            <b/>
            <sz val="8"/>
            <rFont val="Tahoma"/>
            <family val="2"/>
          </rPr>
          <t>An equivalent measure of one tonne of transported goods over one km.</t>
        </r>
      </text>
    </comment>
    <comment ref="C35" authorId="0" shapeId="0" xr:uid="{00000000-0006-0000-2800-000006000000}">
      <text>
        <r>
          <rPr>
            <b/>
            <sz val="8"/>
            <rFont val="Tahoma"/>
            <family val="2"/>
          </rPr>
          <t>An equivalent measure of one tonne of transported goods over one km.</t>
        </r>
      </text>
    </comment>
    <comment ref="D40" authorId="0" shapeId="0" xr:uid="{00000000-0006-0000-2800-000007000000}">
      <text>
        <r>
          <rPr>
            <b/>
            <sz val="8"/>
            <rFont val="Tahoma"/>
            <family val="2"/>
          </rPr>
          <t>Vehicle is not transporting any goods.</t>
        </r>
      </text>
    </comment>
    <comment ref="H40" authorId="0" shapeId="0" xr:uid="{00000000-0006-0000-2800-000008000000}">
      <text>
        <r>
          <rPr>
            <b/>
            <sz val="8"/>
            <rFont val="Tahoma"/>
            <family val="2"/>
          </rPr>
          <t>Vehicle is half full of goods.</t>
        </r>
      </text>
    </comment>
    <comment ref="L40" authorId="0" shapeId="0" xr:uid="{00000000-0006-0000-2800-000009000000}">
      <text>
        <r>
          <rPr>
            <b/>
            <sz val="8"/>
            <rFont val="Tahoma"/>
            <family val="2"/>
          </rPr>
          <t>Vehicle has been loaded to maximum capacity.</t>
        </r>
      </text>
    </comment>
    <comment ref="P40" authorId="0" shapeId="0" xr:uid="{00000000-0006-0000-2800-00000A000000}">
      <text>
        <r>
          <rPr>
            <b/>
            <sz val="8"/>
            <rFont val="Tahoma"/>
            <family val="2"/>
          </rPr>
          <t>The average percentage laden for a freighting vehicle in the UK.</t>
        </r>
      </text>
    </comment>
    <comment ref="A42" authorId="0" shapeId="0" xr:uid="{00000000-0006-0000-2800-00000B000000}">
      <text>
        <r>
          <rPr>
            <b/>
            <sz val="8"/>
            <rFont val="Tahoma"/>
            <family val="2"/>
          </rPr>
          <t>Road vehicle with maximum weight exceeding 3.5 tonnes. These factors do not include refrigerated vehicles.</t>
        </r>
      </text>
    </comment>
    <comment ref="C42" authorId="0" shapeId="0" xr:uid="{00000000-0006-0000-2800-00000C000000}">
      <text>
        <r>
          <rPr>
            <b/>
            <sz val="8"/>
            <rFont val="Tahoma"/>
            <family val="2"/>
          </rPr>
          <t>An equivalent measure of one tonne of transported goods over one km.</t>
        </r>
      </text>
    </comment>
    <comment ref="C45" authorId="0" shapeId="0" xr:uid="{00000000-0006-0000-2800-00000D000000}">
      <text>
        <r>
          <rPr>
            <b/>
            <sz val="8"/>
            <rFont val="Tahoma"/>
            <family val="2"/>
          </rPr>
          <t>An equivalent measure of one tonne of transported goods over one km.</t>
        </r>
      </text>
    </comment>
    <comment ref="C48" authorId="0" shapeId="0" xr:uid="{00000000-0006-0000-2800-00000E000000}">
      <text>
        <r>
          <rPr>
            <b/>
            <sz val="8"/>
            <rFont val="Tahoma"/>
            <family val="2"/>
          </rPr>
          <t>An equivalent measure of one tonne of transported goods over one km.</t>
        </r>
      </text>
    </comment>
    <comment ref="C51" authorId="0" shapeId="0" xr:uid="{00000000-0006-0000-2800-00000F000000}">
      <text>
        <r>
          <rPr>
            <b/>
            <sz val="8"/>
            <rFont val="Tahoma"/>
            <family val="2"/>
          </rPr>
          <t>An equivalent measure of one tonne of transported goods over one km.</t>
        </r>
      </text>
    </comment>
    <comment ref="C54" authorId="0" shapeId="0" xr:uid="{00000000-0006-0000-2800-000010000000}">
      <text>
        <r>
          <rPr>
            <b/>
            <sz val="8"/>
            <rFont val="Tahoma"/>
            <family val="2"/>
          </rPr>
          <t>An equivalent measure of one tonne of transported goods over one km.</t>
        </r>
      </text>
    </comment>
    <comment ref="C57" authorId="0" shapeId="0" xr:uid="{00000000-0006-0000-2800-000011000000}">
      <text>
        <r>
          <rPr>
            <b/>
            <sz val="8"/>
            <rFont val="Tahoma"/>
            <family val="2"/>
          </rPr>
          <t>An equivalent measure of one tonne of transported goods over one km.</t>
        </r>
      </text>
    </comment>
    <comment ref="C60" authorId="0" shapeId="0" xr:uid="{00000000-0006-0000-2800-000012000000}">
      <text>
        <r>
          <rPr>
            <b/>
            <sz val="8"/>
            <rFont val="Tahoma"/>
            <family val="2"/>
          </rPr>
          <t>An equivalent measure of one tonne of transported goods over one km.</t>
        </r>
      </text>
    </comment>
    <comment ref="C63" authorId="0" shapeId="0" xr:uid="{00000000-0006-0000-2800-000013000000}">
      <text>
        <r>
          <rPr>
            <b/>
            <sz val="8"/>
            <rFont val="Tahoma"/>
            <family val="2"/>
          </rPr>
          <t>An equivalent measure of one tonne of transported goods over one km.</t>
        </r>
      </text>
    </comment>
    <comment ref="D68" authorId="0" shapeId="0" xr:uid="{00000000-0006-0000-2800-000014000000}">
      <text>
        <r>
          <rPr>
            <b/>
            <sz val="8"/>
            <rFont val="Tahoma"/>
            <family val="2"/>
          </rPr>
          <t>Vehicle is not transporting any goods.</t>
        </r>
      </text>
    </comment>
    <comment ref="H68" authorId="0" shapeId="0" xr:uid="{00000000-0006-0000-2800-000015000000}">
      <text>
        <r>
          <rPr>
            <b/>
            <sz val="8"/>
            <rFont val="Tahoma"/>
            <family val="2"/>
          </rPr>
          <t>Vehicle is half full of goods.</t>
        </r>
      </text>
    </comment>
    <comment ref="L68" authorId="0" shapeId="0" xr:uid="{00000000-0006-0000-2800-000016000000}">
      <text>
        <r>
          <rPr>
            <b/>
            <sz val="8"/>
            <rFont val="Tahoma"/>
            <family val="2"/>
          </rPr>
          <t>Vehicle has been loaded to maximum capacity.</t>
        </r>
      </text>
    </comment>
    <comment ref="P68" authorId="0" shapeId="0" xr:uid="{00000000-0006-0000-2800-000017000000}">
      <text>
        <r>
          <rPr>
            <b/>
            <sz val="8"/>
            <rFont val="Tahoma"/>
            <family val="2"/>
          </rPr>
          <t>The average percentage laden for a freighting vehicle in the UK.</t>
        </r>
      </text>
    </comment>
    <comment ref="A70" authorId="0" shapeId="0" xr:uid="{00000000-0006-0000-2800-000018000000}">
      <text>
        <r>
          <rPr>
            <b/>
            <sz val="8"/>
            <rFont val="Tahoma"/>
            <family val="2"/>
          </rPr>
          <t>Refrigerated road vehicle with maximum weight exceeding 3.5 tonnes.</t>
        </r>
      </text>
    </comment>
    <comment ref="C70" authorId="0" shapeId="0" xr:uid="{00000000-0006-0000-2800-000019000000}">
      <text>
        <r>
          <rPr>
            <b/>
            <sz val="8"/>
            <rFont val="Tahoma"/>
            <family val="2"/>
          </rPr>
          <t>An equivalent measure of one tonne of transported goods over one km.</t>
        </r>
      </text>
    </comment>
    <comment ref="C73" authorId="0" shapeId="0" xr:uid="{00000000-0006-0000-2800-00001A000000}">
      <text>
        <r>
          <rPr>
            <b/>
            <sz val="8"/>
            <rFont val="Tahoma"/>
            <family val="2"/>
          </rPr>
          <t>An equivalent measure of one tonne of transported goods over one km.</t>
        </r>
      </text>
    </comment>
    <comment ref="C76" authorId="0" shapeId="0" xr:uid="{00000000-0006-0000-2800-00001B000000}">
      <text>
        <r>
          <rPr>
            <b/>
            <sz val="8"/>
            <rFont val="Tahoma"/>
            <family val="2"/>
          </rPr>
          <t>An equivalent measure of one tonne of transported goods over one km.</t>
        </r>
      </text>
    </comment>
    <comment ref="C79" authorId="0" shapeId="0" xr:uid="{00000000-0006-0000-2800-00001C000000}">
      <text>
        <r>
          <rPr>
            <b/>
            <sz val="8"/>
            <rFont val="Tahoma"/>
            <family val="2"/>
          </rPr>
          <t>An equivalent measure of one tonne of transported goods over one km.</t>
        </r>
      </text>
    </comment>
    <comment ref="C82" authorId="0" shapeId="0" xr:uid="{00000000-0006-0000-2800-00001D000000}">
      <text>
        <r>
          <rPr>
            <b/>
            <sz val="8"/>
            <rFont val="Tahoma"/>
            <family val="2"/>
          </rPr>
          <t>An equivalent measure of one tonne of transported goods over one km.</t>
        </r>
      </text>
    </comment>
    <comment ref="C85" authorId="0" shapeId="0" xr:uid="{00000000-0006-0000-2800-00001E000000}">
      <text>
        <r>
          <rPr>
            <b/>
            <sz val="8"/>
            <rFont val="Tahoma"/>
            <family val="2"/>
          </rPr>
          <t>An equivalent measure of one tonne of transported goods over one km.</t>
        </r>
      </text>
    </comment>
    <comment ref="C88" authorId="0" shapeId="0" xr:uid="{00000000-0006-0000-2800-00001F000000}">
      <text>
        <r>
          <rPr>
            <b/>
            <sz val="8"/>
            <rFont val="Tahoma"/>
            <family val="2"/>
          </rPr>
          <t>An equivalent measure of one tonne of transported goods over one km.</t>
        </r>
      </text>
    </comment>
    <comment ref="C91" authorId="0" shapeId="0" xr:uid="{00000000-0006-0000-2800-000020000000}">
      <text>
        <r>
          <rPr>
            <b/>
            <sz val="8"/>
            <rFont val="Tahoma"/>
            <family val="2"/>
          </rPr>
          <t>An equivalent measure of one tonne of transported goods over one km.</t>
        </r>
      </text>
    </comment>
    <comment ref="D96" authorId="0" shapeId="0" xr:uid="{00000000-0006-0000-2800-000021000000}">
      <text>
        <r>
          <rPr>
            <b/>
            <sz val="8"/>
            <rFont val="Tahoma"/>
            <family val="2"/>
          </rPr>
          <t>Including the indirect effects of non-CO2 emissions</t>
        </r>
      </text>
    </comment>
    <comment ref="H96" authorId="0" shapeId="0" xr:uid="{00000000-0006-0000-2800-000022000000}">
      <text>
        <r>
          <rPr>
            <b/>
            <sz val="8"/>
            <rFont val="Tahoma"/>
            <family val="2"/>
          </rPr>
          <t>Direct effects from CO2, CH4 and N2O emissions only</t>
        </r>
      </text>
    </comment>
    <comment ref="B98" authorId="0" shapeId="0" xr:uid="{00000000-0006-0000-2800-000023000000}">
      <text>
        <r>
          <rPr>
            <b/>
            <sz val="8"/>
            <rFont val="Tahoma"/>
            <family val="2"/>
          </rPr>
          <t>Domestic flights are between UK airports.</t>
        </r>
      </text>
    </comment>
    <comment ref="C98" authorId="0" shapeId="0" xr:uid="{00000000-0006-0000-2800-000024000000}">
      <text>
        <r>
          <rPr>
            <b/>
            <sz val="8"/>
            <rFont val="Tahoma"/>
            <family val="2"/>
          </rPr>
          <t>An equivalent measure of one tonne of transported goods over one km</t>
        </r>
      </text>
    </comment>
    <comment ref="B99" authorId="0" shapeId="0" xr:uid="{00000000-0006-0000-2800-000025000000}">
      <text>
        <r>
          <rPr>
            <b/>
            <sz val="8"/>
            <rFont val="Tahoma"/>
            <family val="2"/>
          </rPr>
          <t>International flights to/from the UK, typically to Europe (up to 3700km distance).</t>
        </r>
      </text>
    </comment>
    <comment ref="C99" authorId="0" shapeId="0" xr:uid="{00000000-0006-0000-2800-000026000000}">
      <text>
        <r>
          <rPr>
            <b/>
            <sz val="8"/>
            <rFont val="Tahoma"/>
            <family val="2"/>
          </rPr>
          <t>An equivalent measure of one tonne of transported goods over one km</t>
        </r>
      </text>
    </comment>
    <comment ref="B100" authorId="0" shapeId="0" xr:uid="{00000000-0006-0000-2800-000027000000}">
      <text>
        <r>
          <rPr>
            <b/>
            <sz val="8"/>
            <rFont val="Tahoma"/>
            <family val="2"/>
          </rPr>
          <t>Long-haul international flights to/from the UK, typically to non-European destinations (over 3700km distance).</t>
        </r>
      </text>
    </comment>
    <comment ref="C100" authorId="0" shapeId="0" xr:uid="{00000000-0006-0000-2800-000028000000}">
      <text>
        <r>
          <rPr>
            <b/>
            <sz val="8"/>
            <rFont val="Tahoma"/>
            <family val="2"/>
          </rPr>
          <t>An equivalent measure of one tonne of transported goods over one km.</t>
        </r>
      </text>
    </comment>
    <comment ref="B101" authorId="0" shapeId="0" xr:uid="{00000000-0006-0000-2800-000029000000}">
      <text>
        <r>
          <rPr>
            <b/>
            <sz val="8"/>
            <rFont val="Tahoma"/>
            <family val="2"/>
          </rPr>
          <t>International flights to/from non-UK countries.</t>
        </r>
      </text>
    </comment>
    <comment ref="C101" authorId="0" shapeId="0" xr:uid="{00000000-0006-0000-2800-00002A000000}">
      <text>
        <r>
          <rPr>
            <b/>
            <sz val="8"/>
            <rFont val="Tahoma"/>
            <family val="2"/>
          </rPr>
          <t>An equivalent measure of one tonne of transported goods over one km.</t>
        </r>
      </text>
    </comment>
    <comment ref="C106" authorId="0" shapeId="0" xr:uid="{00000000-0006-0000-2800-00002B000000}">
      <text>
        <r>
          <rPr>
            <b/>
            <sz val="8"/>
            <rFont val="Tahoma"/>
            <family val="2"/>
          </rPr>
          <t>An equivalent measure of one tonne of transported goods over one km.</t>
        </r>
      </text>
    </comment>
    <comment ref="D111" authorId="0" shapeId="0" xr:uid="{00000000-0006-0000-2800-00002C000000}">
      <text>
        <r>
          <rPr>
            <b/>
            <sz val="8"/>
            <rFont val="Tahoma"/>
            <family val="2"/>
          </rPr>
          <t>An equivalent measure of one tonne of transported goods over one km.</t>
        </r>
      </text>
    </comment>
    <comment ref="D112" authorId="0" shapeId="0" xr:uid="{00000000-0006-0000-2800-00002D000000}">
      <text>
        <r>
          <rPr>
            <b/>
            <sz val="8"/>
            <rFont val="Tahoma"/>
            <family val="2"/>
          </rPr>
          <t>An equivalent measure of one tonne of transported goods over one km.</t>
        </r>
      </text>
    </comment>
    <comment ref="D113" authorId="0" shapeId="0" xr:uid="{00000000-0006-0000-2800-00002E000000}">
      <text>
        <r>
          <rPr>
            <b/>
            <sz val="8"/>
            <rFont val="Tahoma"/>
            <family val="2"/>
          </rPr>
          <t>An equivalent measure of one tonne of transported goods over one km.</t>
        </r>
      </text>
    </comment>
    <comment ref="D114" authorId="0" shapeId="0" xr:uid="{00000000-0006-0000-2800-00002F000000}">
      <text>
        <r>
          <rPr>
            <b/>
            <sz val="8"/>
            <rFont val="Tahoma"/>
            <family val="2"/>
          </rPr>
          <t>An equivalent measure of one tonne of transported goods over one km.</t>
        </r>
      </text>
    </comment>
    <comment ref="D115" authorId="0" shapeId="0" xr:uid="{00000000-0006-0000-2800-000030000000}">
      <text>
        <r>
          <rPr>
            <b/>
            <sz val="8"/>
            <rFont val="Tahoma"/>
            <family val="2"/>
          </rPr>
          <t>An equivalent measure of one tonne of transported goods over one km.</t>
        </r>
      </text>
    </comment>
    <comment ref="D116" authorId="0" shapeId="0" xr:uid="{00000000-0006-0000-2800-000031000000}">
      <text>
        <r>
          <rPr>
            <b/>
            <sz val="8"/>
            <rFont val="Tahoma"/>
            <family val="2"/>
          </rPr>
          <t>An equivalent measure of one tonne of transported goods over one km.</t>
        </r>
      </text>
    </comment>
    <comment ref="D117" authorId="0" shapeId="0" xr:uid="{00000000-0006-0000-2800-000032000000}">
      <text>
        <r>
          <rPr>
            <b/>
            <sz val="8"/>
            <rFont val="Tahoma"/>
            <family val="2"/>
          </rPr>
          <t>An equivalent measure of one tonne of transported goods over one km.</t>
        </r>
      </text>
    </comment>
    <comment ref="D118" authorId="0" shapeId="0" xr:uid="{00000000-0006-0000-2800-000033000000}">
      <text>
        <r>
          <rPr>
            <b/>
            <sz val="8"/>
            <rFont val="Tahoma"/>
            <family val="2"/>
          </rPr>
          <t>An equivalent measure of one tonne of transported goods over one km.</t>
        </r>
      </text>
    </comment>
    <comment ref="D119" authorId="0" shapeId="0" xr:uid="{00000000-0006-0000-2800-000034000000}">
      <text>
        <r>
          <rPr>
            <b/>
            <sz val="8"/>
            <rFont val="Tahoma"/>
            <family val="2"/>
          </rPr>
          <t>An equivalent measure of one tonne of transported goods over one km.</t>
        </r>
      </text>
    </comment>
    <comment ref="D120" authorId="0" shapeId="0" xr:uid="{00000000-0006-0000-2800-000035000000}">
      <text>
        <r>
          <rPr>
            <b/>
            <sz val="8"/>
            <rFont val="Tahoma"/>
            <family val="2"/>
          </rPr>
          <t>An equivalent measure of one tonne of transported goods over one km.</t>
        </r>
      </text>
    </comment>
    <comment ref="D121" authorId="0" shapeId="0" xr:uid="{00000000-0006-0000-2800-000036000000}">
      <text>
        <r>
          <rPr>
            <b/>
            <sz val="8"/>
            <rFont val="Tahoma"/>
            <family val="2"/>
          </rPr>
          <t>An equivalent measure of one tonne of transported goods over one km.</t>
        </r>
      </text>
    </comment>
    <comment ref="D122" authorId="0" shapeId="0" xr:uid="{00000000-0006-0000-2800-000037000000}">
      <text>
        <r>
          <rPr>
            <b/>
            <sz val="8"/>
            <rFont val="Tahoma"/>
            <family val="2"/>
          </rPr>
          <t>An equivalent measure of one tonne of transported goods over one km.</t>
        </r>
      </text>
    </comment>
    <comment ref="D123" authorId="0" shapeId="0" xr:uid="{00000000-0006-0000-2800-000038000000}">
      <text>
        <r>
          <rPr>
            <b/>
            <sz val="8"/>
            <rFont val="Tahoma"/>
            <family val="2"/>
          </rPr>
          <t>An equivalent measure of one tonne of transported goods over one km.</t>
        </r>
      </text>
    </comment>
    <comment ref="D124" authorId="0" shapeId="0" xr:uid="{00000000-0006-0000-2800-000039000000}">
      <text>
        <r>
          <rPr>
            <b/>
            <sz val="8"/>
            <rFont val="Tahoma"/>
            <family val="2"/>
          </rPr>
          <t>An equivalent measure of one tonne of transported goods over one km.</t>
        </r>
      </text>
    </comment>
    <comment ref="D125" authorId="0" shapeId="0" xr:uid="{00000000-0006-0000-2800-00003A000000}">
      <text>
        <r>
          <rPr>
            <b/>
            <sz val="8"/>
            <rFont val="Tahoma"/>
            <family val="2"/>
          </rPr>
          <t>An equivalent measure of one tonne of transported goods over one km.</t>
        </r>
      </text>
    </comment>
    <comment ref="D126" authorId="0" shapeId="0" xr:uid="{00000000-0006-0000-2800-00003B000000}">
      <text>
        <r>
          <rPr>
            <b/>
            <sz val="8"/>
            <rFont val="Tahoma"/>
            <family val="2"/>
          </rPr>
          <t>An equivalent measure of one tonne of transported goods over one km.</t>
        </r>
      </text>
    </comment>
    <comment ref="D127" authorId="0" shapeId="0" xr:uid="{00000000-0006-0000-2800-00003C000000}">
      <text>
        <r>
          <rPr>
            <b/>
            <sz val="8"/>
            <rFont val="Tahoma"/>
            <family val="2"/>
          </rPr>
          <t>An equivalent measure of one tonne of transported goods over one km.</t>
        </r>
      </text>
    </comment>
    <comment ref="D128" authorId="0" shapeId="0" xr:uid="{00000000-0006-0000-2800-00003D000000}">
      <text>
        <r>
          <rPr>
            <b/>
            <sz val="8"/>
            <rFont val="Tahoma"/>
            <family val="2"/>
          </rPr>
          <t>An equivalent measure of one tonne of transported goods over one km.</t>
        </r>
      </text>
    </comment>
    <comment ref="D129" authorId="0" shapeId="0" xr:uid="{00000000-0006-0000-2800-00003E000000}">
      <text>
        <r>
          <rPr>
            <b/>
            <sz val="8"/>
            <rFont val="Tahoma"/>
            <family val="2"/>
          </rPr>
          <t>An equivalent measure of one tonne of transported goods over one km.</t>
        </r>
      </text>
    </comment>
    <comment ref="D130" authorId="0" shapeId="0" xr:uid="{00000000-0006-0000-2800-00003F000000}">
      <text>
        <r>
          <rPr>
            <b/>
            <sz val="8"/>
            <rFont val="Tahoma"/>
            <family val="2"/>
          </rPr>
          <t>An equivalent measure of one tonne of transported goods over one km.</t>
        </r>
      </text>
    </comment>
    <comment ref="D131" authorId="0" shapeId="0" xr:uid="{00000000-0006-0000-2800-000040000000}">
      <text>
        <r>
          <rPr>
            <b/>
            <sz val="8"/>
            <rFont val="Tahoma"/>
            <family val="2"/>
          </rPr>
          <t>An equivalent measure of one tonne of transported goods over one km.</t>
        </r>
      </text>
    </comment>
    <comment ref="D132" authorId="0" shapeId="0" xr:uid="{00000000-0006-0000-2800-000041000000}">
      <text>
        <r>
          <rPr>
            <b/>
            <sz val="8"/>
            <rFont val="Tahoma"/>
            <family val="2"/>
          </rPr>
          <t>An equivalent measure of one tonne of transported goods over one km.</t>
        </r>
      </text>
    </comment>
    <comment ref="D133" authorId="0" shapeId="0" xr:uid="{00000000-0006-0000-2800-000042000000}">
      <text>
        <r>
          <rPr>
            <b/>
            <sz val="8"/>
            <rFont val="Tahoma"/>
            <family val="2"/>
          </rPr>
          <t>An equivalent measure of one tonne of transported goods over one km.</t>
        </r>
      </text>
    </comment>
    <comment ref="D134" authorId="0" shapeId="0" xr:uid="{00000000-0006-0000-2800-000043000000}">
      <text>
        <r>
          <rPr>
            <b/>
            <sz val="8"/>
            <rFont val="Tahoma"/>
            <family val="2"/>
          </rPr>
          <t>An equivalent measure of one tonne of transported goods over one km.</t>
        </r>
      </text>
    </comment>
    <comment ref="D139" authorId="0" shapeId="0" xr:uid="{00000000-0006-0000-2800-000044000000}">
      <text>
        <r>
          <rPr>
            <b/>
            <sz val="8"/>
            <rFont val="Tahoma"/>
            <family val="2"/>
          </rPr>
          <t>An equivalent measure of one tonne of transported goods over one km.</t>
        </r>
      </text>
    </comment>
    <comment ref="D140" authorId="0" shapeId="0" xr:uid="{00000000-0006-0000-2800-000045000000}">
      <text>
        <r>
          <rPr>
            <b/>
            <sz val="8"/>
            <rFont val="Tahoma"/>
            <family val="2"/>
          </rPr>
          <t>An equivalent measure of one tonne of transported goods over one km.</t>
        </r>
      </text>
    </comment>
    <comment ref="D141" authorId="0" shapeId="0" xr:uid="{00000000-0006-0000-2800-000046000000}">
      <text>
        <r>
          <rPr>
            <b/>
            <sz val="8"/>
            <rFont val="Tahoma"/>
            <family val="2"/>
          </rPr>
          <t>An equivalent measure of one tonne of transported goods over one km.</t>
        </r>
      </text>
    </comment>
    <comment ref="D142" authorId="0" shapeId="0" xr:uid="{00000000-0006-0000-2800-000047000000}">
      <text>
        <r>
          <rPr>
            <b/>
            <sz val="8"/>
            <rFont val="Tahoma"/>
            <family val="2"/>
          </rPr>
          <t>An equivalent measure of one tonne of transported goods over one km.</t>
        </r>
      </text>
    </comment>
    <comment ref="D143" authorId="0" shapeId="0" xr:uid="{00000000-0006-0000-2800-000048000000}">
      <text>
        <r>
          <rPr>
            <b/>
            <sz val="8"/>
            <rFont val="Tahoma"/>
            <family val="2"/>
          </rPr>
          <t>An equivalent measure of one tonne of transported goods over one km.</t>
        </r>
      </text>
    </comment>
    <comment ref="D144" authorId="0" shapeId="0" xr:uid="{00000000-0006-0000-2800-000049000000}">
      <text>
        <r>
          <rPr>
            <b/>
            <sz val="8"/>
            <rFont val="Tahoma"/>
            <family val="2"/>
          </rPr>
          <t>An equivalent measure of one tonne of transported goods over one km.</t>
        </r>
      </text>
    </comment>
    <comment ref="D145" authorId="0" shapeId="0" xr:uid="{00000000-0006-0000-2800-00004A000000}">
      <text>
        <r>
          <rPr>
            <b/>
            <sz val="8"/>
            <rFont val="Tahoma"/>
            <family val="2"/>
          </rPr>
          <t>An equivalent measure of one tonne of transported goods over one km.</t>
        </r>
      </text>
    </comment>
    <comment ref="D146" authorId="0" shapeId="0" xr:uid="{00000000-0006-0000-2800-00004B000000}">
      <text>
        <r>
          <rPr>
            <b/>
            <sz val="8"/>
            <rFont val="Tahoma"/>
            <family val="2"/>
          </rPr>
          <t>An equivalent measure of one tonne of transported goods over one km.</t>
        </r>
      </text>
    </comment>
    <comment ref="D147" authorId="0" shapeId="0" xr:uid="{00000000-0006-0000-2800-00004C000000}">
      <text>
        <r>
          <rPr>
            <b/>
            <sz val="8"/>
            <rFont val="Tahoma"/>
            <family val="2"/>
          </rPr>
          <t>An equivalent measure of one tonne of transported goods over one km.</t>
        </r>
      </text>
    </comment>
    <comment ref="D148" authorId="0" shapeId="0" xr:uid="{00000000-0006-0000-2800-00004D000000}">
      <text>
        <r>
          <rPr>
            <b/>
            <sz val="8"/>
            <rFont val="Tahoma"/>
            <family val="2"/>
          </rPr>
          <t>An equivalent measure of one tonne of transported goods over one km.</t>
        </r>
      </text>
    </comment>
    <comment ref="D149" authorId="0" shapeId="0" xr:uid="{00000000-0006-0000-2800-00004E000000}">
      <text>
        <r>
          <rPr>
            <b/>
            <sz val="8"/>
            <rFont val="Tahoma"/>
            <family val="2"/>
          </rPr>
          <t>An equivalent measure of one tonne of transported goods over one km.</t>
        </r>
      </text>
    </comment>
    <comment ref="D150" authorId="0" shapeId="0" xr:uid="{00000000-0006-0000-2800-00004F000000}">
      <text>
        <r>
          <rPr>
            <b/>
            <sz val="8"/>
            <rFont val="Tahoma"/>
            <family val="2"/>
          </rPr>
          <t>An equivalent measure of one tonne of transported goods over one km.</t>
        </r>
      </text>
    </comment>
    <comment ref="D151" authorId="0" shapeId="0" xr:uid="{00000000-0006-0000-2800-000050000000}">
      <text>
        <r>
          <rPr>
            <b/>
            <sz val="8"/>
            <rFont val="Tahoma"/>
            <family val="2"/>
          </rPr>
          <t>An equivalent measure of one tonne of transported goods over one km.</t>
        </r>
      </text>
    </comment>
    <comment ref="D152" authorId="0" shapeId="0" xr:uid="{00000000-0006-0000-2800-000051000000}">
      <text>
        <r>
          <rPr>
            <b/>
            <sz val="8"/>
            <rFont val="Tahoma"/>
            <family val="2"/>
          </rPr>
          <t>An equivalent measure of one tonne of transported goods over one km.</t>
        </r>
      </text>
    </comment>
    <comment ref="D153" authorId="0" shapeId="0" xr:uid="{00000000-0006-0000-2800-000052000000}">
      <text>
        <r>
          <rPr>
            <b/>
            <sz val="8"/>
            <rFont val="Tahoma"/>
            <family val="2"/>
          </rPr>
          <t>An equivalent measure of one tonne of transported goods over one km.</t>
        </r>
      </text>
    </comment>
    <comment ref="D154" authorId="0" shapeId="0" xr:uid="{00000000-0006-0000-2800-000053000000}">
      <text>
        <r>
          <rPr>
            <b/>
            <sz val="8"/>
            <rFont val="Tahoma"/>
            <family val="2"/>
          </rPr>
          <t>An equivalent measure of one tonne of transported goods over one km.</t>
        </r>
      </text>
    </comment>
    <comment ref="D155" authorId="0" shapeId="0" xr:uid="{00000000-0006-0000-2800-000054000000}">
      <text>
        <r>
          <rPr>
            <b/>
            <sz val="8"/>
            <rFont val="Tahoma"/>
            <family val="2"/>
          </rPr>
          <t>An equivalent measure of one tonne of transported goods over one km.</t>
        </r>
      </text>
    </comment>
    <comment ref="D156" authorId="0" shapeId="0" xr:uid="{00000000-0006-0000-2800-000055000000}">
      <text>
        <r>
          <rPr>
            <b/>
            <sz val="8"/>
            <rFont val="Tahoma"/>
            <family val="2"/>
          </rPr>
          <t>An equivalent measure of one tonne of transported goods over one km.</t>
        </r>
      </text>
    </comment>
    <comment ref="D157" authorId="0" shapeId="0" xr:uid="{00000000-0006-0000-2800-000056000000}">
      <text>
        <r>
          <rPr>
            <b/>
            <sz val="8"/>
            <rFont val="Tahoma"/>
            <family val="2"/>
          </rPr>
          <t>An equivalent measure of one tonne of transported goods over one km.</t>
        </r>
      </text>
    </comment>
    <comment ref="D158" authorId="0" shapeId="0" xr:uid="{00000000-0006-0000-2800-000057000000}">
      <text>
        <r>
          <rPr>
            <b/>
            <sz val="8"/>
            <rFont val="Tahoma"/>
            <family val="2"/>
          </rPr>
          <t>An equivalent measure of one tonne of transported goods over one km.</t>
        </r>
      </text>
    </comment>
    <comment ref="D159" authorId="0" shapeId="0" xr:uid="{00000000-0006-0000-2800-000058000000}">
      <text>
        <r>
          <rPr>
            <b/>
            <sz val="8"/>
            <rFont val="Tahoma"/>
            <family val="2"/>
          </rPr>
          <t>An equivalent measure of one tonne of transported goods over one km.</t>
        </r>
      </text>
    </comment>
    <comment ref="D160" authorId="0" shapeId="0" xr:uid="{00000000-0006-0000-2800-000059000000}">
      <text>
        <r>
          <rPr>
            <b/>
            <sz val="8"/>
            <rFont val="Tahoma"/>
            <family val="2"/>
          </rPr>
          <t>An equivalent measure of one tonne of transported goods over one km.</t>
        </r>
      </text>
    </comment>
    <comment ref="D161" authorId="0" shapeId="0" xr:uid="{00000000-0006-0000-2800-00005A000000}">
      <text>
        <r>
          <rPr>
            <b/>
            <sz val="8"/>
            <rFont val="Tahoma"/>
            <family val="2"/>
          </rPr>
          <t>An equivalent measure of one tonne of transported goods over one km.</t>
        </r>
      </text>
    </comment>
    <comment ref="D162" authorId="0" shapeId="0" xr:uid="{00000000-0006-0000-2800-00005B000000}">
      <text>
        <r>
          <rPr>
            <b/>
            <sz val="8"/>
            <rFont val="Tahoma"/>
            <family val="2"/>
          </rPr>
          <t>An equivalent measure of one tonne of transported goods over one km.</t>
        </r>
      </text>
    </comment>
    <comment ref="D163" authorId="0" shapeId="0" xr:uid="{00000000-0006-0000-2800-00005C000000}">
      <text>
        <r>
          <rPr>
            <b/>
            <sz val="8"/>
            <rFont val="Tahoma"/>
            <family val="2"/>
          </rPr>
          <t>An equivalent measure of one tonne of transported goods over one km.</t>
        </r>
      </text>
    </comment>
    <comment ref="D164" authorId="0" shapeId="0" xr:uid="{00000000-0006-0000-2800-00005D000000}">
      <text>
        <r>
          <rPr>
            <b/>
            <sz val="8"/>
            <rFont val="Tahoma"/>
            <family val="2"/>
          </rPr>
          <t>An equivalent measure of one tonne of transported goods over one km.</t>
        </r>
      </text>
    </comment>
    <comment ref="D165" authorId="0" shapeId="0" xr:uid="{00000000-0006-0000-2800-00005E000000}">
      <text>
        <r>
          <rPr>
            <b/>
            <sz val="8"/>
            <rFont val="Tahoma"/>
            <family val="2"/>
          </rPr>
          <t>An equivalent measure of one tonne of transported goods over one km.</t>
        </r>
      </text>
    </comment>
    <comment ref="D166" authorId="0" shapeId="0" xr:uid="{00000000-0006-0000-2800-00005F000000}">
      <text>
        <r>
          <rPr>
            <b/>
            <sz val="8"/>
            <rFont val="Tahoma"/>
            <family val="2"/>
          </rPr>
          <t>An equivalent measure of one tonne of transported goods over one km.</t>
        </r>
      </text>
    </comment>
    <comment ref="D167" authorId="0" shapeId="0" xr:uid="{00000000-0006-0000-2800-000060000000}">
      <text>
        <r>
          <rPr>
            <b/>
            <sz val="8"/>
            <rFont val="Tahoma"/>
            <family val="2"/>
          </rPr>
          <t>An equivalent measure of one tonne of transported goods over one km.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2C00-000001000000}">
      <text>
        <r>
          <rPr>
            <b/>
            <sz val="8"/>
            <rFont val="Tahoma"/>
            <family val="2"/>
          </rPr>
          <t>Materials that are re-used instead of disposed of by recycling or landfill.</t>
        </r>
      </text>
    </comment>
    <comment ref="E22" authorId="0" shapeId="0" xr:uid="{00000000-0006-0000-2C00-000002000000}">
      <text>
        <r>
          <rPr>
            <b/>
            <sz val="8"/>
            <rFont val="Tahoma"/>
            <family val="2"/>
          </rPr>
          <t>Open-loop recycling is the process of recycling material into other products.</t>
        </r>
      </text>
    </comment>
    <comment ref="F22" authorId="0" shapeId="0" xr:uid="{00000000-0006-0000-2C00-000003000000}">
      <text>
        <r>
          <rPr>
            <b/>
            <sz val="8"/>
            <rFont val="Tahoma"/>
            <family val="2"/>
          </rPr>
          <t>Closed-loop recycling is the process of recycling material back into the same product.</t>
        </r>
      </text>
    </comment>
    <comment ref="G22" authorId="0" shapeId="0" xr:uid="{00000000-0006-0000-2C00-000004000000}">
      <text>
        <r>
          <rPr>
            <b/>
            <sz val="8"/>
            <rFont val="Tahoma"/>
            <family val="2"/>
          </rPr>
          <t>Energy is recovered from the waste through incineration and subsequent generation of electricity.</t>
        </r>
      </text>
    </comment>
    <comment ref="H22" authorId="0" shapeId="0" xr:uid="{00000000-0006-0000-2C00-000005000000}">
      <text>
        <r>
          <rPr>
            <b/>
            <sz val="8"/>
            <rFont val="Tahoma"/>
            <family val="2"/>
          </rPr>
          <t>CO₂e emitted as a result of composting a waste stream.</t>
        </r>
      </text>
    </comment>
    <comment ref="D39" authorId="0" shapeId="0" xr:uid="{00000000-0006-0000-2C00-000006000000}">
      <text>
        <r>
          <rPr>
            <b/>
            <sz val="8"/>
            <rFont val="Tahoma"/>
            <family val="2"/>
          </rPr>
          <t>Materials that are re-used instead of disposed of by recycling or landfill.</t>
        </r>
      </text>
    </comment>
    <comment ref="E39" authorId="0" shapeId="0" xr:uid="{00000000-0006-0000-2C00-000007000000}">
      <text>
        <r>
          <rPr>
            <b/>
            <sz val="8"/>
            <rFont val="Tahoma"/>
            <family val="2"/>
          </rPr>
          <t>Open-loop recycling is the process of recycling material into other products.</t>
        </r>
      </text>
    </comment>
    <comment ref="F39" authorId="0" shapeId="0" xr:uid="{00000000-0006-0000-2C00-000008000000}">
      <text>
        <r>
          <rPr>
            <b/>
            <sz val="8"/>
            <rFont val="Tahoma"/>
            <family val="2"/>
          </rPr>
          <t>Closed-loop recycling is the process of recycling material back into the same product.</t>
        </r>
      </text>
    </comment>
    <comment ref="G39" authorId="0" shapeId="0" xr:uid="{00000000-0006-0000-2C00-000009000000}">
      <text>
        <r>
          <rPr>
            <b/>
            <sz val="8"/>
            <rFont val="Tahoma"/>
            <family val="2"/>
          </rPr>
          <t>Energy is recovered from the waste through incineration and subsequent generation of electricity.</t>
        </r>
      </text>
    </comment>
    <comment ref="H39" authorId="0" shapeId="0" xr:uid="{00000000-0006-0000-2C00-00000A000000}">
      <text>
        <r>
          <rPr>
            <b/>
            <sz val="8"/>
            <rFont val="Tahoma"/>
            <family val="2"/>
          </rPr>
          <t>CO₂e emitted as a result of composting a waste stream.</t>
        </r>
      </text>
    </comment>
    <comment ref="D46" authorId="0" shapeId="0" xr:uid="{00000000-0006-0000-2C00-00000B000000}">
      <text>
        <r>
          <rPr>
            <b/>
            <sz val="8"/>
            <rFont val="Tahoma"/>
            <family val="2"/>
          </rPr>
          <t>Materials that are re-used instead of disposed of by recycling or landfill.</t>
        </r>
      </text>
    </comment>
    <comment ref="E46" authorId="0" shapeId="0" xr:uid="{00000000-0006-0000-2C00-00000C000000}">
      <text>
        <r>
          <rPr>
            <b/>
            <sz val="8"/>
            <rFont val="Tahoma"/>
            <family val="2"/>
          </rPr>
          <t>Open-loop recycling is the process of recycling material into other products.</t>
        </r>
      </text>
    </comment>
    <comment ref="F46" authorId="0" shapeId="0" xr:uid="{00000000-0006-0000-2C00-00000D000000}">
      <text>
        <r>
          <rPr>
            <b/>
            <sz val="8"/>
            <rFont val="Tahoma"/>
            <family val="2"/>
          </rPr>
          <t>Closed-loop recycling is the process of recycling material back into the same product.</t>
        </r>
      </text>
    </comment>
    <comment ref="G46" authorId="0" shapeId="0" xr:uid="{00000000-0006-0000-2C00-00000E000000}">
      <text>
        <r>
          <rPr>
            <b/>
            <sz val="8"/>
            <rFont val="Tahoma"/>
            <family val="2"/>
          </rPr>
          <t>Energy is recovered from the waste through incineration and subsequent generation of electricity.</t>
        </r>
      </text>
    </comment>
    <comment ref="H46" authorId="0" shapeId="0" xr:uid="{00000000-0006-0000-2C00-00000F000000}">
      <text>
        <r>
          <rPr>
            <b/>
            <sz val="8"/>
            <rFont val="Tahoma"/>
            <family val="2"/>
          </rPr>
          <t>CO₂e emitted as a result of composting a waste stream.</t>
        </r>
      </text>
    </comment>
    <comment ref="J46" authorId="0" shapeId="0" xr:uid="{00000000-0006-0000-2C00-000010000000}">
      <text>
        <r>
          <rPr>
            <b/>
            <sz val="8"/>
            <rFont val="Tahoma"/>
            <family val="2"/>
          </rPr>
          <t>Energy is recovered from the waste through anaerobic digestion.</t>
        </r>
      </text>
    </comment>
    <comment ref="B48" authorId="0" shapeId="0" xr:uid="{00000000-0006-0000-2C00-000011000000}">
      <text>
        <r>
          <rPr>
            <b/>
            <sz val="8"/>
            <rFont val="Tahoma"/>
            <family val="2"/>
          </rPr>
          <t>Domestic waste</t>
        </r>
      </text>
    </comment>
    <comment ref="B52" authorId="0" shapeId="0" xr:uid="{00000000-0006-0000-2C00-000012000000}">
      <text>
        <r>
          <rPr>
            <b/>
            <sz val="8"/>
            <rFont val="Tahoma"/>
            <family val="2"/>
          </rPr>
          <t>Waste generated by businesses or industrial operations</t>
        </r>
      </text>
    </comment>
    <comment ref="D55" authorId="0" shapeId="0" xr:uid="{00000000-0006-0000-2C00-000013000000}">
      <text>
        <r>
          <rPr>
            <b/>
            <sz val="8"/>
            <rFont val="Tahoma"/>
            <family val="2"/>
          </rPr>
          <t>Materials that are re-used instead of disposed of by recycling or landfill.</t>
        </r>
      </text>
    </comment>
    <comment ref="E55" authorId="0" shapeId="0" xr:uid="{00000000-0006-0000-2C00-000014000000}">
      <text>
        <r>
          <rPr>
            <b/>
            <sz val="8"/>
            <rFont val="Tahoma"/>
            <family val="2"/>
          </rPr>
          <t>Open-loop recycling is the process of recycling material into other products.</t>
        </r>
      </text>
    </comment>
    <comment ref="F55" authorId="0" shapeId="0" xr:uid="{00000000-0006-0000-2C00-000015000000}">
      <text>
        <r>
          <rPr>
            <b/>
            <sz val="8"/>
            <rFont val="Tahoma"/>
            <family val="2"/>
          </rPr>
          <t>Closed-loop recycling is the process of recycling material back into the same product.</t>
        </r>
      </text>
    </comment>
    <comment ref="G55" authorId="0" shapeId="0" xr:uid="{00000000-0006-0000-2C00-000016000000}">
      <text>
        <r>
          <rPr>
            <b/>
            <sz val="8"/>
            <rFont val="Tahoma"/>
            <family val="2"/>
          </rPr>
          <t>Energy is recovered from the waste through incineration and subsequent generation of electricity.</t>
        </r>
      </text>
    </comment>
    <comment ref="H55" authorId="0" shapeId="0" xr:uid="{00000000-0006-0000-2C00-000017000000}">
      <text>
        <r>
          <rPr>
            <b/>
            <sz val="8"/>
            <rFont val="Tahoma"/>
            <family val="2"/>
          </rPr>
          <t>CO₂e emitted as a result of composting a waste stream.</t>
        </r>
      </text>
    </comment>
    <comment ref="J55" authorId="0" shapeId="0" xr:uid="{00000000-0006-0000-2C00-000018000000}">
      <text>
        <r>
          <rPr>
            <b/>
            <sz val="8"/>
            <rFont val="Tahoma"/>
            <family val="2"/>
          </rPr>
          <t>Energy is recovered from the waste through anaerobic digestion.</t>
        </r>
      </text>
    </comment>
    <comment ref="B58" authorId="0" shapeId="0" xr:uid="{00000000-0006-0000-2C00-000019000000}">
      <text>
        <r>
          <rPr>
            <b/>
            <sz val="8"/>
            <rFont val="Tahoma"/>
            <family val="2"/>
          </rPr>
          <t>Stationary machines for routine housekeeping tasks e.g. cookers / fridges</t>
        </r>
      </text>
    </comment>
    <comment ref="B60" authorId="0" shapeId="0" xr:uid="{00000000-0006-0000-2C00-00001A000000}">
      <text>
        <r>
          <rPr>
            <b/>
            <sz val="8"/>
            <rFont val="Tahoma"/>
            <family val="2"/>
          </rPr>
          <t>Small power equipment</t>
        </r>
      </text>
    </comment>
    <comment ref="B61" authorId="0" shapeId="0" xr:uid="{00000000-0006-0000-2C00-00001B000000}">
      <text>
        <r>
          <rPr>
            <b/>
            <sz val="8"/>
            <rFont val="Tahoma"/>
            <family val="2"/>
          </rPr>
          <t>Excludes car batteries</t>
        </r>
      </text>
    </comment>
    <comment ref="D64" authorId="0" shapeId="0" xr:uid="{00000000-0006-0000-2C00-00001C000000}">
      <text>
        <r>
          <rPr>
            <b/>
            <sz val="8"/>
            <rFont val="Tahoma"/>
            <family val="2"/>
          </rPr>
          <t>Materials that are re-used instead of disposed of by recycling or landfill.</t>
        </r>
      </text>
    </comment>
    <comment ref="E64" authorId="0" shapeId="0" xr:uid="{00000000-0006-0000-2C00-00001D000000}">
      <text>
        <r>
          <rPr>
            <b/>
            <sz val="8"/>
            <rFont val="Tahoma"/>
            <family val="2"/>
          </rPr>
          <t>Open-loop recycling is the process of recycling material into other products.</t>
        </r>
      </text>
    </comment>
    <comment ref="F64" authorId="0" shapeId="0" xr:uid="{00000000-0006-0000-2C00-00001E000000}">
      <text>
        <r>
          <rPr>
            <b/>
            <sz val="8"/>
            <rFont val="Tahoma"/>
            <family val="2"/>
          </rPr>
          <t>Closed-loop recycling is the process of recycling material back into the same product.</t>
        </r>
      </text>
    </comment>
    <comment ref="G64" authorId="0" shapeId="0" xr:uid="{00000000-0006-0000-2C00-00001F000000}">
      <text>
        <r>
          <rPr>
            <b/>
            <sz val="8"/>
            <rFont val="Tahoma"/>
            <family val="2"/>
          </rPr>
          <t>Energy is recovered from the waste through incineration and subsequent generation of electricity.</t>
        </r>
      </text>
    </comment>
    <comment ref="H64" authorId="0" shapeId="0" xr:uid="{00000000-0006-0000-2C00-000020000000}">
      <text>
        <r>
          <rPr>
            <b/>
            <sz val="8"/>
            <rFont val="Tahoma"/>
            <family val="2"/>
          </rPr>
          <t>CO₂e emitted as a result of composting a waste stream.</t>
        </r>
      </text>
    </comment>
    <comment ref="J64" authorId="0" shapeId="0" xr:uid="{00000000-0006-0000-2C00-000021000000}">
      <text>
        <r>
          <rPr>
            <b/>
            <sz val="8"/>
            <rFont val="Tahoma"/>
            <family val="2"/>
          </rPr>
          <t>Energy is recovered from the waste through anaerobic digestion.</t>
        </r>
      </text>
    </comment>
    <comment ref="D72" authorId="0" shapeId="0" xr:uid="{00000000-0006-0000-2C00-000022000000}">
      <text>
        <r>
          <rPr>
            <b/>
            <sz val="8"/>
            <rFont val="Tahoma"/>
            <family val="2"/>
          </rPr>
          <t>Materials that are re-used instead of disposed of by recycling or landfill.</t>
        </r>
      </text>
    </comment>
    <comment ref="E72" authorId="0" shapeId="0" xr:uid="{00000000-0006-0000-2C00-000023000000}">
      <text>
        <r>
          <rPr>
            <b/>
            <sz val="8"/>
            <rFont val="Tahoma"/>
            <family val="2"/>
          </rPr>
          <t>Open-loop recycling is the process of recycling material into other products.</t>
        </r>
      </text>
    </comment>
    <comment ref="F72" authorId="0" shapeId="0" xr:uid="{00000000-0006-0000-2C00-000024000000}">
      <text>
        <r>
          <rPr>
            <b/>
            <sz val="8"/>
            <rFont val="Tahoma"/>
            <family val="2"/>
          </rPr>
          <t>Closed-loop recycling is the process of recycling material back into the same product.</t>
        </r>
      </text>
    </comment>
    <comment ref="G72" authorId="0" shapeId="0" xr:uid="{00000000-0006-0000-2C00-000025000000}">
      <text>
        <r>
          <rPr>
            <b/>
            <sz val="8"/>
            <rFont val="Tahoma"/>
            <family val="2"/>
          </rPr>
          <t>Energy is recovered from the waste through incineration and subsequent generation of electricity.</t>
        </r>
      </text>
    </comment>
    <comment ref="H72" authorId="0" shapeId="0" xr:uid="{00000000-0006-0000-2C00-000026000000}">
      <text>
        <r>
          <rPr>
            <b/>
            <sz val="8"/>
            <rFont val="Tahoma"/>
            <family val="2"/>
          </rPr>
          <t>CO₂e emitted as a result of composting a waste stream.</t>
        </r>
      </text>
    </comment>
    <comment ref="J72" authorId="0" shapeId="0" xr:uid="{00000000-0006-0000-2C00-000027000000}">
      <text>
        <r>
          <rPr>
            <b/>
            <sz val="8"/>
            <rFont val="Tahoma"/>
            <family val="2"/>
          </rPr>
          <t>Energy is recovered from the waste through anaerobic digestion.</t>
        </r>
      </text>
    </comment>
    <comment ref="B77" authorId="0" shapeId="0" xr:uid="{00000000-0006-0000-2C00-000028000000}">
      <text>
        <r>
          <rPr>
            <b/>
            <sz val="8"/>
            <rFont val="Tahoma"/>
            <family val="2"/>
          </rPr>
          <t>An opaque plastic commonly used for milk bottles</t>
        </r>
      </text>
    </comment>
    <comment ref="B78" authorId="0" shapeId="0" xr:uid="{00000000-0006-0000-2C00-000029000000}">
      <text>
        <r>
          <rPr>
            <b/>
            <sz val="8"/>
            <rFont val="Tahoma"/>
            <family val="2"/>
          </rPr>
          <t>Packaging material (foils, plastic bags etc.)</t>
        </r>
      </text>
    </comment>
    <comment ref="B79" authorId="0" shapeId="0" xr:uid="{00000000-0006-0000-2C00-00002A000000}">
      <text>
        <r>
          <rPr>
            <b/>
            <sz val="8"/>
            <rFont val="Tahoma"/>
            <family val="2"/>
          </rPr>
          <t>For example clear drink bottles/ sandwich wrappers</t>
        </r>
      </text>
    </comment>
    <comment ref="B80" authorId="0" shapeId="0" xr:uid="{00000000-0006-0000-2C00-00002B000000}">
      <text>
        <r>
          <rPr>
            <b/>
            <sz val="8"/>
            <rFont val="Tahoma"/>
            <family val="2"/>
          </rPr>
          <t>Mainly used in injection moulding i.e. for cutlery, containers, and automotive parts</t>
        </r>
      </text>
    </comment>
    <comment ref="B81" authorId="0" shapeId="0" xr:uid="{00000000-0006-0000-2C00-00002C000000}">
      <text>
        <r>
          <rPr>
            <b/>
            <sz val="8"/>
            <rFont val="Tahoma"/>
            <family val="2"/>
          </rPr>
          <t>Commonly used for foam based insulation and cheap disposable items i.e. protective packaging and disposable cutlery</t>
        </r>
      </text>
    </comment>
    <comment ref="B82" authorId="0" shapeId="0" xr:uid="{00000000-0006-0000-2C00-00002D000000}">
      <text>
        <r>
          <rPr>
            <b/>
            <sz val="8"/>
            <rFont val="Tahoma"/>
            <family val="2"/>
          </rPr>
          <t>Widespread use in building, transport, packaging, electrical/electronic and healthcare applications</t>
        </r>
      </text>
    </comment>
    <comment ref="D85" authorId="0" shapeId="0" xr:uid="{00000000-0006-0000-2C00-00002E000000}">
      <text>
        <r>
          <rPr>
            <b/>
            <sz val="8"/>
            <rFont val="Tahoma"/>
            <family val="2"/>
          </rPr>
          <t>Materials that are re-used instead of disposed of by recycling or landfill.</t>
        </r>
      </text>
    </comment>
    <comment ref="E85" authorId="0" shapeId="0" xr:uid="{00000000-0006-0000-2C00-00002F000000}">
      <text>
        <r>
          <rPr>
            <b/>
            <sz val="8"/>
            <rFont val="Tahoma"/>
            <family val="2"/>
          </rPr>
          <t>Open-loop recycling is the process of recycling material into other products.</t>
        </r>
      </text>
    </comment>
    <comment ref="F85" authorId="0" shapeId="0" xr:uid="{00000000-0006-0000-2C00-000030000000}">
      <text>
        <r>
          <rPr>
            <b/>
            <sz val="8"/>
            <rFont val="Tahoma"/>
            <family val="2"/>
          </rPr>
          <t>Closed-loop recycling is the process of recycling material back into the same product.</t>
        </r>
      </text>
    </comment>
    <comment ref="G85" authorId="0" shapeId="0" xr:uid="{00000000-0006-0000-2C00-000031000000}">
      <text>
        <r>
          <rPr>
            <b/>
            <sz val="8"/>
            <rFont val="Tahoma"/>
            <family val="2"/>
          </rPr>
          <t>Energy is recovered from the waste through incineration and subsequent generation of electricity.</t>
        </r>
      </text>
    </comment>
    <comment ref="H85" authorId="0" shapeId="0" xr:uid="{00000000-0006-0000-2C00-000032000000}">
      <text>
        <r>
          <rPr>
            <b/>
            <sz val="8"/>
            <rFont val="Tahoma"/>
            <family val="2"/>
          </rPr>
          <t>CO₂e emitted as a result of composting a waste stream.</t>
        </r>
      </text>
    </comment>
    <comment ref="J85" authorId="0" shapeId="0" xr:uid="{00000000-0006-0000-2C00-000033000000}">
      <text>
        <r>
          <rPr>
            <b/>
            <sz val="8"/>
            <rFont val="Tahoma"/>
            <family val="2"/>
          </rPr>
          <t>Energy is recovered from the waste through anaerobic digestion.</t>
        </r>
      </text>
    </comment>
    <comment ref="B87" authorId="0" shapeId="0" xr:uid="{00000000-0006-0000-2C00-000034000000}">
      <text>
        <r>
          <rPr>
            <b/>
            <sz val="8"/>
            <rFont val="Tahoma"/>
            <family val="2"/>
          </rPr>
          <t>Average: 78% corrugate and 22% carton board</t>
        </r>
      </text>
    </comment>
    <comment ref="B88" authorId="0" shapeId="0" xr:uid="{00000000-0006-0000-2C00-000035000000}">
      <text>
        <r>
          <rPr>
            <b/>
            <sz val="8"/>
            <rFont val="Tahoma"/>
            <family val="2"/>
          </rPr>
          <t>Assumes 25% paper, 75% board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<sst xmlns="http://schemas.openxmlformats.org/spreadsheetml/2006/main" count="12895" uniqueCount="2245">
  <si>
    <t>Versión N°</t>
  </si>
  <si>
    <t>Fecha de última actualización</t>
  </si>
  <si>
    <t>Desarrollado por</t>
  </si>
  <si>
    <t>Nataly Moyano Pozo - Consultora Programa HuellaChile</t>
  </si>
  <si>
    <t>Revisado y aprobado por</t>
  </si>
  <si>
    <t>Arturo Espinosa Cáceres - Coordinador Programa HuellaChile</t>
  </si>
  <si>
    <t>Leyenda</t>
  </si>
  <si>
    <t>Descripción</t>
  </si>
  <si>
    <t>INICIO</t>
  </si>
  <si>
    <t>Descripción del documento.</t>
  </si>
  <si>
    <t>RESUMEN</t>
  </si>
  <si>
    <t>Hoja resumen que agrupa todos los factores de emisión del documento.</t>
  </si>
  <si>
    <t>1.1 Combustión estacionaria</t>
  </si>
  <si>
    <t>Factores de emisión para combustión estacionaria. Utiliza de base las hojas: 1.1 V2 CH2 T2.4 y 1.1 y 1.2CUADROA2 - BNE 2020-21.</t>
  </si>
  <si>
    <t>1.1 V2 CH2 T2.4</t>
  </si>
  <si>
    <t>Tabla proveniente de IPCC 2006 (vol2; chapter 2) , Table 2.4. Proporciona factores de emisión por defecto para la combustión estacionaria en la categoría Comercial/Institucional.</t>
  </si>
  <si>
    <t>1.2 Combustión móvil</t>
  </si>
  <si>
    <t>Factores de emisión para combustión móvil. Utiliza de base las hojas: 1.2 V2 CH3 T3.2.1, 1.2 V2 CH3 T3.2.2 y 1.1 y 1.2CUADROA2 - BNE 2020-21.</t>
  </si>
  <si>
    <t>1.2 V2 CH3 T3.2.1</t>
  </si>
  <si>
    <t>Tabla proveniente de IPCC 2006 (vol2; chapter 3) , Table 3.2.1. Proporciona factores de emisión de CO2 poe defecto del transporte terrestre y ragos de incertidumbre.</t>
  </si>
  <si>
    <t>1.2 V2 CH3 T3.2.2</t>
  </si>
  <si>
    <t>Tabla proveniente de IPCC 2006 (vol2; chapter 3) , Table 3.2.2. Proporciona factores de emisión por defecto de N2O y CH4 del transporte terrestre y rangos de incertidumbre.</t>
  </si>
  <si>
    <t>1.1 y 1.2CUADROA2 - BNE 2020-21</t>
  </si>
  <si>
    <t>Tablas provenientes del Balance Nacional de Energía 2020. Proporciona densidades y poderes caloríficos de diversos productos.</t>
  </si>
  <si>
    <t>1.3 Procesos industriales</t>
  </si>
  <si>
    <t>Factores de emisión para emisiones de procesos. Utiliza de base las hojas: 1.3 P.I. Cemento, 1.3 P.I. Cal, 1.3 P.I. Vidrio, 1.3 P.I. Hierro, Acero y Coque y 1.3 P.I. Ácido Nítrico.</t>
  </si>
  <si>
    <t>1.3 P.I. Cemento</t>
  </si>
  <si>
    <t>Información proveniente del Informe del Inventario Nacional de Gases de Efecto Invernadero de Chile 1990-2020. Proporciona lineamientos para la estimación de emisiones de la subcategoría Producción de Cemento, en base a las Directrices del IPCC de 2006.</t>
  </si>
  <si>
    <t>1.3 P.I. Cal</t>
  </si>
  <si>
    <t>Información proveniente del Informe del Inventario Nacional de Gases de Efecto Invernadero de Chile 1990-2020. Proporciona lineamientos para la estimación de emisiones de la subcategoría Producción de Cal, en base a las Directrices del IPCC de 2006.</t>
  </si>
  <si>
    <t>1.3 P.I. Vidrio</t>
  </si>
  <si>
    <t>Información proveniente del Informe del Inventario Nacional de Gases de Efecto Invernadero de Chile 1990-2020. Proporciona lineamientos para la estimación de emisiones de la subcategoría Producción de Vidrio, en base a las Directrices del IPCC de 2006.</t>
  </si>
  <si>
    <t>1.3 P.I. Hierro, Acero y Coque</t>
  </si>
  <si>
    <t>Información proveniente del IPCC 2006 -Capítulo 4 - Emisiones de la industria de los metales. Proporciona lineamientos para la estimación de emisiones de  Producción de Hierro, Producción de Acero y Producción de Coque.</t>
  </si>
  <si>
    <t>1.3 P.I. Ácido Nítrico</t>
  </si>
  <si>
    <t>Información proveniente del Informe del Inventario Nacional de Gases de Efecto Invernadero de Chile 1990-2020. Proporciona lineamientos para la estimación de emisiones de la subcategoría Producción de Ácido Nítrico, en base a las Directrices del IPCC de 2006 -Capítulo 3 - Emisiones de la industria química.</t>
  </si>
  <si>
    <t>1.4 Emisiones fugitivas</t>
  </si>
  <si>
    <t>Factores de emisión para emisiones fugitivas. Utiliza de base las hojas: 1.4 AR5 CH8  T8.A.1 y 1.4 V3 CH7 T7.8.</t>
  </si>
  <si>
    <t>1.4 AR5 CH8  T8.A.1</t>
  </si>
  <si>
    <t>Tabla proveniente de IPCC 2012 (AR5; chapter 8), Table 8.A.1. Proporciona factores de emisión de distintos refrigerantes.</t>
  </si>
  <si>
    <t>1.4 V3 CH7 T7.8</t>
  </si>
  <si>
    <t>Tabla proveniente de IPCC 2006 (vol3; chapter 7) , Table 7.8. Proporciona factores de emisión de mezclas de refrigerantes.</t>
  </si>
  <si>
    <t>2.1 Electricidad</t>
  </si>
  <si>
    <t>Factores de emisión para consumo de electricidad de los distintos sistemas eléctricos de Chile (SEN y sistemas medianos). Utiliza información proveniente de Energía Abierta de la Comisión Nacional de Energía del Ministerio de Energía de Chile.</t>
  </si>
  <si>
    <t>2.2 Pérdidas por T&amp;D</t>
  </si>
  <si>
    <t>Factores de emisión por pérdidas de transmisión y distribución de energía. Aplica a empresas distribuidoras y transmisoras. Utiliza la Base de Información de Eficiencia Energética - CEPAL- Enerdata, 2018 y la hoja 2.1 Electricidad.</t>
  </si>
  <si>
    <t>2.3 Adq. de otras energías</t>
  </si>
  <si>
    <t>Factores de emisión para la adquisición de otras energías ( Vapor/Calefacción/Refrigeración/Aire comprimido). Utiliza de base la hoja 2.3 V2 CH2 T2.2.</t>
  </si>
  <si>
    <t>2.3 V2 CH2 T2.2</t>
  </si>
  <si>
    <t>Tabla proveniente de IPCC 2006 (vol2; chapter 2) , Table 2.2. Proporciona factores de emisión por defecto para la combustión estacionaria en las industrias energéticas.</t>
  </si>
  <si>
    <t>3.1 Adq. Bienes y servicios</t>
  </si>
  <si>
    <t>Factores de emisión para bienes y servicios adquiridos. Utiliza de base las hojas: 3.1 Fertilizantes, 3.1 Material use, 3.1 WTT- fuels, 3.1 WTT- bioenergy, 3.1 Water treatment, 3.1 Water supply, 3.1 Hotel stay y 3.1 Homeworking.</t>
  </si>
  <si>
    <t>3.1 Fertilizantes</t>
  </si>
  <si>
    <t>Información proveniente de la International Fertiliser Society. Proporciona datos para fertilizantes.</t>
  </si>
  <si>
    <t>3.1 Material use</t>
  </si>
  <si>
    <t>Hoja proveniente de DEFRA 2024. Proporciona factores de emisión para uso de materiales.</t>
  </si>
  <si>
    <t>3.1 WTT- fuels</t>
  </si>
  <si>
    <t>Hoja proveniente de DEFRA 2024. Proporciona factores de emisión Well-to-tank (pozo al tanque) para combustibles.</t>
  </si>
  <si>
    <t>3.1 WTT- bioenergy</t>
  </si>
  <si>
    <t>Hoja proveniente de DEFRA 2024. Proporciona factores de emisión Well-to-tank (pozo al tanque) para biocombustibles.</t>
  </si>
  <si>
    <t>3.1 Water treatment</t>
  </si>
  <si>
    <t>Hoja proveniente de DEFRA 2024. Proporciona factores de emisión para tratamiento de aguas servidas.</t>
  </si>
  <si>
    <t>3.1 Water supply</t>
  </si>
  <si>
    <t>Hoja proveniente de DEFRA 2024. Proporciona factores de emisión para suministro de agua potable.</t>
  </si>
  <si>
    <t>3.1 Hotel stay</t>
  </si>
  <si>
    <t>Hoja proveniente de DEFRA 2024. Proporciona factores de emisión para estadías en hospedajes según el país de ubicación.</t>
  </si>
  <si>
    <t>3.1 Homeworking</t>
  </si>
  <si>
    <t>Hoja proveniente de DEFRA 2024. Hace referencia a factores de emisión para teletrabajo (trabajo remoto).</t>
  </si>
  <si>
    <t>3.2 Transporte de personas</t>
  </si>
  <si>
    <t>Factores de emisión para transporte de personas. Considera las subcategorías: Traslado diaro de personal, Viajes de negocios y Transporte de clientes y visitantes . Utiliza de base la hoja 3.2 Business travel- air, 3.2 Business travel- land y 3.2 Passenger vehicles.</t>
  </si>
  <si>
    <t>3.2 Business travel- air</t>
  </si>
  <si>
    <t>Hoja proveniente de DEFRA 2024. Proporciona factores de emisión de transporte aéreo.</t>
  </si>
  <si>
    <t>3.2 Business travel- land</t>
  </si>
  <si>
    <t>Hoja proveniente de DEFRA 2024. Proporciona factores de emisión de transporte terrestre.</t>
  </si>
  <si>
    <t>3.2 Passenger vehicles</t>
  </si>
  <si>
    <t>Hoja proveniente de DEFRA 2024. Proporciona factores de emisión para vehículos de transporte de personas.</t>
  </si>
  <si>
    <t>3.3 Transporte de carga</t>
  </si>
  <si>
    <t>Factores de emisión para transporte de carga. Utiliza de base la hoja 3.3 Freighting goods.</t>
  </si>
  <si>
    <t>3.3 Freighting goods</t>
  </si>
  <si>
    <t>Hoja proveniente de DEFRA 2024. Proporciona factores de emisión para vehículos de transporte de carga y residuos.</t>
  </si>
  <si>
    <t>3.4 Transporte de residuos</t>
  </si>
  <si>
    <t>Factores de emisión para transporte de residuos. Utiliza de base la hoja 3.3 Freighting goods.</t>
  </si>
  <si>
    <t>3.5 Uso de productos</t>
  </si>
  <si>
    <t>Factores de emisión para uso de productos. Utiliza de base las hoja 1.1 V2 CH2 T2.4,  1.4 AR5 CH8  T8.A.1 y 1.4 V3 CH7 T7.8.</t>
  </si>
  <si>
    <t>3.6 Trat. y/o disp. de residuos</t>
  </si>
  <si>
    <t>Factores de emisión para tratamiento y/o de residuos. Utiliza de base la hoja 3.6 Waste disposal.</t>
  </si>
  <si>
    <t>3.6 Waste disposal</t>
  </si>
  <si>
    <t>Hoja proveniente de DEFRA 2024. Proporciona factores de emisión para tratamiento y/o disposición de residuos.</t>
  </si>
  <si>
    <t>Alcance</t>
  </si>
  <si>
    <t>Categoría</t>
  </si>
  <si>
    <t>Subcategoría</t>
  </si>
  <si>
    <t>Nombre</t>
  </si>
  <si>
    <t>Auxiliar</t>
  </si>
  <si>
    <t>Unidad del dato de actividad</t>
  </si>
  <si>
    <t>Factor de emisión</t>
  </si>
  <si>
    <t>Unidades del factor de emisión</t>
  </si>
  <si>
    <t>Fuente 1</t>
  </si>
  <si>
    <t>Fuente 2</t>
  </si>
  <si>
    <t>Fuente 3</t>
  </si>
  <si>
    <t>Emisiones directas</t>
  </si>
  <si>
    <t>Caldera/Generador/General</t>
  </si>
  <si>
    <t>Nafta</t>
  </si>
  <si>
    <t>-</t>
  </si>
  <si>
    <t>metros cúbicos</t>
  </si>
  <si>
    <t>litros</t>
  </si>
  <si>
    <t>Carbón metalúrgico</t>
  </si>
  <si>
    <t>toneladas</t>
  </si>
  <si>
    <t>kilogramos</t>
  </si>
  <si>
    <t>gramos</t>
  </si>
  <si>
    <t>Carbón térmico</t>
  </si>
  <si>
    <t>Gasolina</t>
  </si>
  <si>
    <t>Gas de alto horno</t>
  </si>
  <si>
    <t>Gas ciudad (cañería o corriente)</t>
  </si>
  <si>
    <t>Gas de refinería</t>
  </si>
  <si>
    <t>Gas licuado de petróleo</t>
  </si>
  <si>
    <t>Gas natural</t>
  </si>
  <si>
    <t>Kerosene</t>
  </si>
  <si>
    <t>Petcoke</t>
  </si>
  <si>
    <t>Petróleo 2 (Diésel)</t>
  </si>
  <si>
    <t>Petróleo 5</t>
  </si>
  <si>
    <t>Petróleo 6</t>
  </si>
  <si>
    <t>Vehíulos de pasajeros o carga</t>
  </si>
  <si>
    <t>Petróleo 2 (Diesel)</t>
  </si>
  <si>
    <t>Gas licuado</t>
  </si>
  <si>
    <t>Producción minerales</t>
  </si>
  <si>
    <t>Producción de cemento</t>
  </si>
  <si>
    <t>Producción de cal</t>
  </si>
  <si>
    <t>Producción de vidrio</t>
  </si>
  <si>
    <t>Producción de coke</t>
  </si>
  <si>
    <t>Producción de metal</t>
  </si>
  <si>
    <t>Producción de arrabio</t>
  </si>
  <si>
    <t>tonelada</t>
  </si>
  <si>
    <t>Producción de hierro</t>
  </si>
  <si>
    <t>Producción de pelets</t>
  </si>
  <si>
    <t xml:space="preserve">Producción de acero (horno básico) </t>
  </si>
  <si>
    <t xml:space="preserve">Producción de acero (horno de arco eléctrico) </t>
  </si>
  <si>
    <t>Industria química</t>
  </si>
  <si>
    <t>Producción de ácido nítrico (Plantas con NSCR)</t>
  </si>
  <si>
    <t>Producción de ácido nítrico (Plantas con destrucción de N2O)</t>
  </si>
  <si>
    <t>Producción de ácido nítrico (Plantas a presión atmosférica)</t>
  </si>
  <si>
    <t>Producción de ácido nítrico (Plantas a presión intermedia)</t>
  </si>
  <si>
    <t>Producción de ácido nítrico (Plantas a alta presión)</t>
  </si>
  <si>
    <t>Emisiones fugitivas</t>
  </si>
  <si>
    <t>HFC-245fa</t>
  </si>
  <si>
    <t>HFC-32</t>
  </si>
  <si>
    <t>HFC-41</t>
  </si>
  <si>
    <t>HFC-43-I0mee</t>
  </si>
  <si>
    <t>Perfluorobutano (PFC-3-1-10)</t>
  </si>
  <si>
    <t>Perfluorociclobutano (PFC-318)</t>
  </si>
  <si>
    <t>Perfluoroetano (PFC-116)</t>
  </si>
  <si>
    <t>Perfluorohexano (PFC-5-1-14)</t>
  </si>
  <si>
    <t>Perfluorometano (PFC-14)</t>
  </si>
  <si>
    <t>Perfluoropentano (PFC-4-1-12)</t>
  </si>
  <si>
    <t>HFC-125</t>
  </si>
  <si>
    <t>Perfluoropropano (PFC-218)</t>
  </si>
  <si>
    <t>Hexafluoruro de azufre (SF6)</t>
  </si>
  <si>
    <t>Metano (CH4)</t>
  </si>
  <si>
    <t>Trifluoruro de nitrógeno (NF3)</t>
  </si>
  <si>
    <t>R404A</t>
  </si>
  <si>
    <t>R407A</t>
  </si>
  <si>
    <t>R407B</t>
  </si>
  <si>
    <t>R407C</t>
  </si>
  <si>
    <t>R410A</t>
  </si>
  <si>
    <t>R410B</t>
  </si>
  <si>
    <t>HFC-134</t>
  </si>
  <si>
    <t>R507</t>
  </si>
  <si>
    <t>R508A</t>
  </si>
  <si>
    <t>R508B</t>
  </si>
  <si>
    <t>Desflurano (HFE-236ea2)</t>
  </si>
  <si>
    <t>HFC-134a</t>
  </si>
  <si>
    <t>HFC-143</t>
  </si>
  <si>
    <t>HFC-143a</t>
  </si>
  <si>
    <t>HFC-152a</t>
  </si>
  <si>
    <t>HFC-227ea</t>
  </si>
  <si>
    <t>HFC-23</t>
  </si>
  <si>
    <t>HFC-236fa</t>
  </si>
  <si>
    <t>HCFC-22/R22</t>
  </si>
  <si>
    <t>CFC-11/R11</t>
  </si>
  <si>
    <t>CFC-12/R12</t>
  </si>
  <si>
    <t>CFC-13</t>
  </si>
  <si>
    <t>CFC-113</t>
  </si>
  <si>
    <t>CFC-114</t>
  </si>
  <si>
    <t>CFC-115</t>
  </si>
  <si>
    <t>Halon-1211</t>
  </si>
  <si>
    <t>Halon-1301</t>
  </si>
  <si>
    <t>Halon-2402</t>
  </si>
  <si>
    <t>Bromuro de metilo</t>
  </si>
  <si>
    <t>HCFC-123</t>
  </si>
  <si>
    <t>HCFC-124</t>
  </si>
  <si>
    <t>HCFC-141b</t>
  </si>
  <si>
    <t>HCFC-142b</t>
  </si>
  <si>
    <t>HCFC-225ca</t>
  </si>
  <si>
    <t>HCFC-225cb</t>
  </si>
  <si>
    <t>HCFC-21</t>
  </si>
  <si>
    <t>Exintor (CO2)</t>
  </si>
  <si>
    <t>Isofluorano</t>
  </si>
  <si>
    <t>Sevofluorano</t>
  </si>
  <si>
    <t>Óxido nitroso (N2O)</t>
  </si>
  <si>
    <t>Emisiones indirectas por energía importada</t>
  </si>
  <si>
    <t>Sistema Interconectado del Norte Grande (SING)</t>
  </si>
  <si>
    <t>MWh</t>
  </si>
  <si>
    <t>GWh</t>
  </si>
  <si>
    <t>kWh</t>
  </si>
  <si>
    <t>Sistema Interconectado Central (SIC)</t>
  </si>
  <si>
    <t>Sistema Eléctrico Nacional</t>
  </si>
  <si>
    <t>Sistema Eléctrico de Aysén</t>
  </si>
  <si>
    <t>Sistema Eléctrico de Magallanes</t>
  </si>
  <si>
    <t>Sistema Eléctrico de Los Lagos</t>
  </si>
  <si>
    <t>Pérdidas por T&amp;D</t>
  </si>
  <si>
    <t>Vapor/Calefacción/Refrigeración/Aire comprimido</t>
  </si>
  <si>
    <t>Otras emisiones indirectas</t>
  </si>
  <si>
    <t>Adquisición de bienes y servicios</t>
  </si>
  <si>
    <t>Plasticos: Promedio</t>
  </si>
  <si>
    <t>Acero general</t>
  </si>
  <si>
    <t>Acero reciclado</t>
  </si>
  <si>
    <t>Metal: latas de aluminio y otros metales</t>
  </si>
  <si>
    <t>Fertilizante: Nitrato de amonio</t>
  </si>
  <si>
    <t>Fertilizante: nitrogenados convencional</t>
  </si>
  <si>
    <t>Fertilizante: Urea</t>
  </si>
  <si>
    <t>Fertilizante: fosfatados</t>
  </si>
  <si>
    <t>Fertilizante: NPK general</t>
  </si>
  <si>
    <t>Plásticos: Plástico film promedio</t>
  </si>
  <si>
    <t>Plásticos: Rígido promedio</t>
  </si>
  <si>
    <t>Plásticos: Polietileno de alta densidad (HDPE)</t>
  </si>
  <si>
    <t>Plásticos: Polietileno de baja densidad (LDPE) y LLDPE</t>
  </si>
  <si>
    <t>Plásticos: Teraftalato de Polietileno (PET)</t>
  </si>
  <si>
    <t>Plásticos: Polipropileno (PP)</t>
  </si>
  <si>
    <t>Plásticos: Poliestireno (PS)</t>
  </si>
  <si>
    <t>Plásticos: Policloruro de vinilo (PVC)</t>
  </si>
  <si>
    <t>Papel</t>
  </si>
  <si>
    <t>Impresión y publicación</t>
  </si>
  <si>
    <t>Tintas de impresión</t>
  </si>
  <si>
    <t>Madera y productos de madera</t>
  </si>
  <si>
    <t>Vidrio y productos de vidrio</t>
  </si>
  <si>
    <t>Hormigón</t>
  </si>
  <si>
    <t>Yeso cartón</t>
  </si>
  <si>
    <t>Textiles</t>
  </si>
  <si>
    <t>Productos alimenticios y bebidas general</t>
  </si>
  <si>
    <t>Lubricantes</t>
  </si>
  <si>
    <t>Leña</t>
  </si>
  <si>
    <t>Neumáticos</t>
  </si>
  <si>
    <t>Aluminio</t>
  </si>
  <si>
    <t>Neumático recauchado</t>
  </si>
  <si>
    <t>Químicos: Solventes orgánicos</t>
  </si>
  <si>
    <t>Papel y cartón: Cartón</t>
  </si>
  <si>
    <t>Químicos: Ácido sulfúrico, líquido, en planta</t>
  </si>
  <si>
    <t>Agua potable: Suministro y tratamiento</t>
  </si>
  <si>
    <t>Refrigerador doméstico</t>
  </si>
  <si>
    <t>Refrigerador industrial</t>
  </si>
  <si>
    <t>Computador y equipos de electrónicos</t>
  </si>
  <si>
    <t>Estadía en hotel (1 noche)</t>
  </si>
  <si>
    <t>pieza por noche</t>
  </si>
  <si>
    <t>Trabajo remoto - equipos de oficina (8 horas de trabajo)</t>
  </si>
  <si>
    <t>jornada de trabajo (8 horas)</t>
  </si>
  <si>
    <t>Trabajo remoto - calefacción (8 horas de trabajo)</t>
  </si>
  <si>
    <t>Trabajo remoto - equipos de oficina y calefacción (8 horas de trabajo)</t>
  </si>
  <si>
    <t>Traslado diaro de personal</t>
  </si>
  <si>
    <t>Vehículo particular - gasolina</t>
  </si>
  <si>
    <t>kilómetros</t>
  </si>
  <si>
    <t>Vehículo particular - diesel</t>
  </si>
  <si>
    <t>Taxi</t>
  </si>
  <si>
    <t>kilómetros-pasajero</t>
  </si>
  <si>
    <t>Colectivo</t>
  </si>
  <si>
    <t>Motocicleta</t>
  </si>
  <si>
    <t>Bus interurbano (aprox. 45 pers.)</t>
  </si>
  <si>
    <t>Bus local (aprox. 25 pers.)</t>
  </si>
  <si>
    <t>Bus transantiago</t>
  </si>
  <si>
    <t>Metro</t>
  </si>
  <si>
    <t>Metrotren</t>
  </si>
  <si>
    <t>Bicicleta/A pie</t>
  </si>
  <si>
    <t>Vehículo  particular - Híbrido</t>
  </si>
  <si>
    <t>Vehículo particular - Eléctrico</t>
  </si>
  <si>
    <t>Viajes de negocios</t>
  </si>
  <si>
    <t>Aéreo - Avión trayecto doméstico (Chile continental)</t>
  </si>
  <si>
    <t>Aéreo - Avión trayecto internacional (promedio)</t>
  </si>
  <si>
    <t>Terrestre - Vehículo particular - Gasolina</t>
  </si>
  <si>
    <t>Terrestre - Vehículo particular - Diesel</t>
  </si>
  <si>
    <t>Terrestre - Taxi</t>
  </si>
  <si>
    <t>Terrestre - Motocicleta</t>
  </si>
  <si>
    <t>Terrestre - Bus interurbano (aprox. 45 pers.)</t>
  </si>
  <si>
    <t>Terrestre - Bus local (aprox. 25 pers.)</t>
  </si>
  <si>
    <t>Terrestre - Bus transantiago</t>
  </si>
  <si>
    <t>Terrestre - Metro</t>
  </si>
  <si>
    <t>Terrestre - Tren</t>
  </si>
  <si>
    <t>Terrestre - Van</t>
  </si>
  <si>
    <t>Terrestre - Van - Gasolina</t>
  </si>
  <si>
    <t>Terrestre - Van - Eléctrico</t>
  </si>
  <si>
    <t>Terrestre - Van - Híbrido</t>
  </si>
  <si>
    <t>Terrestre - Vehículo  particular - Híbrido</t>
  </si>
  <si>
    <t>Terrestre - Vehículo particular - Eléctrico</t>
  </si>
  <si>
    <t>Transporte de clientes y visitantes</t>
  </si>
  <si>
    <t>Insumos - terrestre</t>
  </si>
  <si>
    <t>Camión rígido promedio</t>
  </si>
  <si>
    <t>tonelada-kilómetro</t>
  </si>
  <si>
    <t>Camión rígido (&gt;3,5 - 7,5t)</t>
  </si>
  <si>
    <t>Camión rígido (&gt;7,5 - 17t)</t>
  </si>
  <si>
    <t>Camión rígido (&gt;17t)</t>
  </si>
  <si>
    <t>Camión articulado promedio</t>
  </si>
  <si>
    <t>Camión articulado (&gt;3,5 - 33t)</t>
  </si>
  <si>
    <t>Camión articulado (&gt;33t)</t>
  </si>
  <si>
    <t>Camión promedio</t>
  </si>
  <si>
    <t>Tren de carga</t>
  </si>
  <si>
    <t>Vehículos medianos (van) - diesel</t>
  </si>
  <si>
    <t>Camión rígido promedio carga promedio 3 t</t>
  </si>
  <si>
    <t>Camión articulado promedio carga 11 t</t>
  </si>
  <si>
    <t>Camión refrigerado promedio carga 7 t</t>
  </si>
  <si>
    <t>Tren</t>
  </si>
  <si>
    <t>Insumos - marítimo</t>
  </si>
  <si>
    <t>Barco - contenedor</t>
  </si>
  <si>
    <t>Barco - granel</t>
  </si>
  <si>
    <t>Insumos - aéreos</t>
  </si>
  <si>
    <t>Productos - terrestre</t>
  </si>
  <si>
    <t>Productos - marítimo</t>
  </si>
  <si>
    <t>Productos - aéreos</t>
  </si>
  <si>
    <t>Residuos - municipales (disposición final)</t>
  </si>
  <si>
    <t>Camión rígido promedio carga 3 t</t>
  </si>
  <si>
    <t>Residuos  - reciclaje</t>
  </si>
  <si>
    <t>Residuos - otros</t>
  </si>
  <si>
    <t>Quema de combustible</t>
  </si>
  <si>
    <t>Reciclaje</t>
  </si>
  <si>
    <t>Agregados (Escombros)</t>
  </si>
  <si>
    <t>Plásticos: Promedio de plásticos</t>
  </si>
  <si>
    <t>Plásticos: HDPE</t>
  </si>
  <si>
    <t>Plásticos: LDPE y LLDPE</t>
  </si>
  <si>
    <t>Plásticos: PET</t>
  </si>
  <si>
    <t>Plásticos: PP</t>
  </si>
  <si>
    <t>Plásticos: PS</t>
  </si>
  <si>
    <t>Plásticos: PVC</t>
  </si>
  <si>
    <t>Equipos electricos y electronicos</t>
  </si>
  <si>
    <t>Madera</t>
  </si>
  <si>
    <t>Baterías (post-consumo no automotriz)</t>
  </si>
  <si>
    <t>Construcción, Demolición y Excavación:Promedio</t>
  </si>
  <si>
    <t>Vidrio</t>
  </si>
  <si>
    <t>Metal: latas de aluminio y papel de aluminio</t>
  </si>
  <si>
    <t>Metal: Chatarra Metálica</t>
  </si>
  <si>
    <t>Aceite mineral</t>
  </si>
  <si>
    <t>Papel y cartón</t>
  </si>
  <si>
    <t>Compostaje</t>
  </si>
  <si>
    <t>Residuos orgánicos</t>
  </si>
  <si>
    <t>Vertedero</t>
  </si>
  <si>
    <t>Residuos comerciales e industriales</t>
  </si>
  <si>
    <t>Residuos municipales</t>
  </si>
  <si>
    <t>Relleno sanitario</t>
  </si>
  <si>
    <t>Compuesto</t>
  </si>
  <si>
    <t>Valor</t>
  </si>
  <si>
    <t>Unidad</t>
  </si>
  <si>
    <t>Fuente</t>
  </si>
  <si>
    <t>Dióxido de Carbono (CO2)</t>
  </si>
  <si>
    <t>AR5</t>
  </si>
  <si>
    <t>Óxido Nitroso (N2O)</t>
  </si>
  <si>
    <t xml:space="preserve">1 kcal </t>
  </si>
  <si>
    <t>kJ</t>
  </si>
  <si>
    <t>IPCC Anex II: Metrics &amp; Methodology</t>
  </si>
  <si>
    <t>1 TJ</t>
  </si>
  <si>
    <t>Combustibles sólidos y líquidos</t>
  </si>
  <si>
    <t>IPCC V2 CH1 (int. de confianza 95%)</t>
  </si>
  <si>
    <t>Combustibles gaseosos</t>
  </si>
  <si>
    <t>IPCC V2 CH1 (int. de confianza 90%)</t>
  </si>
  <si>
    <t>Huella Organizacional</t>
  </si>
  <si>
    <t>Tipo de fuente: Caldera/Generador/General</t>
  </si>
  <si>
    <t>kg GEI/unidad</t>
  </si>
  <si>
    <t>CO2e/unidad</t>
  </si>
  <si>
    <t>Nombre en HuellaChile</t>
  </si>
  <si>
    <t>Nombre en BNE 2020</t>
  </si>
  <si>
    <t>Nombre en IPCC ESP</t>
  </si>
  <si>
    <t>Nombre en IPCC EN</t>
  </si>
  <si>
    <t>Estado del combustible</t>
  </si>
  <si>
    <t>CO2 kgCO2/TJ</t>
  </si>
  <si>
    <t>CH4 kgCH4/TJ</t>
  </si>
  <si>
    <t>N2O kgN2O/TJ</t>
  </si>
  <si>
    <t>Densidad</t>
  </si>
  <si>
    <t>Poder Calorífico Superior (PCS)</t>
  </si>
  <si>
    <t>Unidad PCS</t>
  </si>
  <si>
    <t>Poder Calorífico Inferior (PCI)</t>
  </si>
  <si>
    <t>Unidad PCI</t>
  </si>
  <si>
    <t>Multiplica densidad</t>
  </si>
  <si>
    <t>PCI</t>
  </si>
  <si>
    <t>CO2</t>
  </si>
  <si>
    <t>CH4</t>
  </si>
  <si>
    <t>N2O</t>
  </si>
  <si>
    <t>kgCO2e total</t>
  </si>
  <si>
    <t>Otras fuentes</t>
  </si>
  <si>
    <t>Naphtha</t>
  </si>
  <si>
    <t>Líquido</t>
  </si>
  <si>
    <t>t/m3</t>
  </si>
  <si>
    <t>Sí</t>
  </si>
  <si>
    <t>IPCC 2006 (vol2; chapter 2) , Table 2.4</t>
  </si>
  <si>
    <t>CNE BNE 2020</t>
  </si>
  <si>
    <t>Carbón</t>
  </si>
  <si>
    <t>Carbón de coque</t>
  </si>
  <si>
    <t>Coking Coal</t>
  </si>
  <si>
    <t>Sólido</t>
  </si>
  <si>
    <t>No</t>
  </si>
  <si>
    <t>Otro carbón bituminoso</t>
  </si>
  <si>
    <t>Other Bituminous Coal</t>
  </si>
  <si>
    <t>Gasolina Motor</t>
  </si>
  <si>
    <t>Gasolina para motores</t>
  </si>
  <si>
    <t>Motor Gasoline</t>
  </si>
  <si>
    <t>Blast Furnace Gas</t>
  </si>
  <si>
    <t>Gaseoso</t>
  </si>
  <si>
    <t>kcal/kg</t>
  </si>
  <si>
    <t>IPCC 2006 (vol2; chapter 1) , Table 1.2</t>
  </si>
  <si>
    <t>Gas Natural</t>
  </si>
  <si>
    <t>Natural gas</t>
  </si>
  <si>
    <t>DEFRA 2023 (Fuel properties), Natural Gas</t>
  </si>
  <si>
    <t>Gas de Refinería</t>
  </si>
  <si>
    <t>Refinery Gas</t>
  </si>
  <si>
    <t>Gas Licuado</t>
  </si>
  <si>
    <t>Gases licuados de petroleo</t>
  </si>
  <si>
    <t>Liquefied Petroleum Gases</t>
  </si>
  <si>
    <t>Otro queroseno</t>
  </si>
  <si>
    <t>Other Kerosene</t>
  </si>
  <si>
    <t>Coque de Petróleo</t>
  </si>
  <si>
    <t>Coque de petróleo</t>
  </si>
  <si>
    <t>Petroleum Coke</t>
  </si>
  <si>
    <t>Petróleo Diésel</t>
  </si>
  <si>
    <t>Gas/Diesel Oil</t>
  </si>
  <si>
    <t>Petróleo Combustible 5</t>
  </si>
  <si>
    <t>Fuelóleo residual</t>
  </si>
  <si>
    <t>Residual Fuel Oil</t>
  </si>
  <si>
    <t>Petróleo Combustible  6</t>
  </si>
  <si>
    <t>CUADRO 2.2
FACTORES DE EMISIÓN POR DEFECTO PARA LA COMBUSTIÓN ESTACIONARIA EN LAS INDUSTRIAS ENERGÉTICAS (kg de gas
de efecto invernadero por TJ sobre una base calórica neta)</t>
  </si>
  <si>
    <t>Combustible</t>
  </si>
  <si>
    <t>Factor de emisión por defecto</t>
  </si>
  <si>
    <t>Inferior</t>
  </si>
  <si>
    <t>Superior</t>
  </si>
  <si>
    <t>Petróleo crudo</t>
  </si>
  <si>
    <t>Orimulsión</t>
  </si>
  <si>
    <t>Gas natural licuado</t>
  </si>
  <si>
    <t>Gasolina para la aviación</t>
  </si>
  <si>
    <t>Gasolina para motor a reacción</t>
  </si>
  <si>
    <t>Queroseno para motor a reacción</t>
  </si>
  <si>
    <t>Esquisto bituminoso</t>
  </si>
  <si>
    <t>Gases licuados de petróleo</t>
  </si>
  <si>
    <t>Etano</t>
  </si>
  <si>
    <t>Bitumen</t>
  </si>
  <si>
    <t>Alimentación a procesos de refinerías</t>
  </si>
  <si>
    <t>Otro petróleo</t>
  </si>
  <si>
    <t>Ceras de parafina</t>
  </si>
  <si>
    <t>Espíritu blanco y SBP</t>
  </si>
  <si>
    <t>Otros productos del petróleo</t>
  </si>
  <si>
    <t>Antracita</t>
  </si>
  <si>
    <t>Carbón sub- bituminoso</t>
  </si>
  <si>
    <t>Lignito</t>
  </si>
  <si>
    <t>Esquisto bituminoso y alquitrán</t>
  </si>
  <si>
    <t>Briquetas de carbón de lignito</t>
  </si>
  <si>
    <t>Combustible evidente</t>
  </si>
  <si>
    <t>Coque</t>
  </si>
  <si>
    <t>Coque para horno de coque y coque de lignito</t>
  </si>
  <si>
    <t>Coque de gas</t>
  </si>
  <si>
    <t>Alquitrán de hulla</t>
  </si>
  <si>
    <t>Gases derivados</t>
  </si>
  <si>
    <t>Gas de fábricas de gas</t>
  </si>
  <si>
    <t>Gas de horno de coque</t>
  </si>
  <si>
    <t>Gas de horno de oxígeno para aceros</t>
  </si>
  <si>
    <t>Desechos municipales (fracción no perteneciente a la biomasa)</t>
  </si>
  <si>
    <t>Desechos industriales</t>
  </si>
  <si>
    <t>Óleos de desecho</t>
  </si>
  <si>
    <t>Turba</t>
  </si>
  <si>
    <t>Biocombustibles sólidos</t>
  </si>
  <si>
    <t>Madera / Desechos de madera</t>
  </si>
  <si>
    <t>Lejía de sulfito (licor negro)(a)</t>
  </si>
  <si>
    <t>Otra biomasa sólida primaria</t>
  </si>
  <si>
    <t>Carbón vegetal</t>
  </si>
  <si>
    <t>Biocombustibles líquidos</t>
  </si>
  <si>
    <t>Biogasolina</t>
  </si>
  <si>
    <t>Biodiésel</t>
  </si>
  <si>
    <t>Otros biocombus tibles líquidos</t>
  </si>
  <si>
    <t>Biomasa gaseosa</t>
  </si>
  <si>
    <t>Gas de vertedero</t>
  </si>
  <si>
    <t>Gas de digestión de lodos cloacales</t>
  </si>
  <si>
    <t>Otro biogás</t>
  </si>
  <si>
    <t>Otros combustibles no fósiles</t>
  </si>
  <si>
    <t>Desechos municipales (fracción pertenecien te a la biomasa)</t>
  </si>
  <si>
    <t>(a)Incluye el CO2 derivado de la biomasa emitido desde la unidad de combustión de licor negro y el CO2 derivado de la biomasa emitido desde el horno de cal de la planta de kraft.
n  Indica un factor de emisión nuevo que no estaba presente en las Directrices del IPCC de 1996.
r  Indica un factor de emisión que se revisó a partir de las Directrices del IPCC de 1996.</t>
  </si>
  <si>
    <t>CUADRO 2.3
FACTORES DE EMISIÓN POR DEFECTO PARA LA COMBUSTIÓN ESTACIONARIA EN LAS INDUSTRIAS MANUFACTURERAS Y DE
LA CONSTRUCCIÓN (kg de gas de efecto invernadero por TJ sobre una base calórica neta)</t>
  </si>
  <si>
    <t xml:space="preserve">Tipo de fuente: Vehículos de pasajeros o carga </t>
  </si>
  <si>
    <t>Estado físico del combustible</t>
  </si>
  <si>
    <t>IPCC 2006 (vol2; chapter 3) , Table 3.2.1 and Table 3.2.2</t>
  </si>
  <si>
    <t>kcal/m3</t>
  </si>
  <si>
    <t>IPCC 2006 (vol2; chapter 2), Table 2.3</t>
  </si>
  <si>
    <r>
      <rPr>
        <b/>
        <sz val="9"/>
        <rFont val="Times New Roman"/>
        <family val="1"/>
      </rPr>
      <t>C</t>
    </r>
    <r>
      <rPr>
        <b/>
        <sz val="7"/>
        <rFont val="Times New Roman"/>
        <family val="1"/>
      </rPr>
      <t xml:space="preserve">UADRO </t>
    </r>
    <r>
      <rPr>
        <b/>
        <sz val="9"/>
        <rFont val="Times New Roman"/>
        <family val="1"/>
      </rPr>
      <t>2.4
F</t>
    </r>
    <r>
      <rPr>
        <b/>
        <sz val="7"/>
        <rFont val="Times New Roman"/>
        <family val="1"/>
      </rPr>
      <t xml:space="preserve">ACTORES DE EMISIÓN POR DEFECTO PARA LA COMBUSTIÓN ESTACIONARIA EN LA CATEGORÍA
</t>
    </r>
    <r>
      <rPr>
        <b/>
        <u/>
        <sz val="7"/>
        <color rgb="FFC00000"/>
        <rFont val="Times New Roman"/>
        <family val="1"/>
      </rPr>
      <t>COMERCIAL</t>
    </r>
    <r>
      <rPr>
        <b/>
        <u/>
        <sz val="9"/>
        <color rgb="FFC00000"/>
        <rFont val="Times New Roman"/>
        <family val="1"/>
      </rPr>
      <t>/</t>
    </r>
    <r>
      <rPr>
        <b/>
        <u/>
        <sz val="7"/>
        <color rgb="FFC00000"/>
        <rFont val="Times New Roman"/>
        <family val="1"/>
      </rPr>
      <t>INSTITUCIONAL</t>
    </r>
    <r>
      <rPr>
        <b/>
        <sz val="7"/>
        <rFont val="Times New Roman"/>
        <family val="1"/>
      </rPr>
      <t xml:space="preserve"> </t>
    </r>
    <r>
      <rPr>
        <b/>
        <sz val="9"/>
        <rFont val="Times New Roman"/>
        <family val="1"/>
      </rPr>
      <t>(kg de gas de efecto invernadero por TJ sobre una base calórica neta)</t>
    </r>
  </si>
  <si>
    <r>
      <rPr>
        <b/>
        <sz val="8"/>
        <rFont val="Times New Roman"/>
        <family val="1"/>
      </rPr>
      <t>Combustible</t>
    </r>
  </si>
  <si>
    <r>
      <rPr>
        <b/>
        <sz val="8"/>
        <rFont val="Times New Roman"/>
        <family val="1"/>
      </rPr>
      <t>Fuel</t>
    </r>
  </si>
  <si>
    <r>
      <rPr>
        <b/>
        <sz val="8"/>
        <rFont val="Times New Roman"/>
        <family val="1"/>
      </rPr>
      <t>CO</t>
    </r>
    <r>
      <rPr>
        <b/>
        <vertAlign val="subscript"/>
        <sz val="8"/>
        <rFont val="Times New Roman"/>
        <family val="1"/>
      </rPr>
      <t>2</t>
    </r>
  </si>
  <si>
    <r>
      <rPr>
        <b/>
        <sz val="8"/>
        <rFont val="Times New Roman"/>
        <family val="1"/>
      </rPr>
      <t>CH</t>
    </r>
    <r>
      <rPr>
        <b/>
        <vertAlign val="subscript"/>
        <sz val="8"/>
        <rFont val="Times New Roman"/>
        <family val="1"/>
      </rPr>
      <t>4</t>
    </r>
  </si>
  <si>
    <r>
      <rPr>
        <b/>
        <sz val="8"/>
        <rFont val="Times New Roman"/>
        <family val="1"/>
      </rPr>
      <t>N</t>
    </r>
    <r>
      <rPr>
        <b/>
        <vertAlign val="subscript"/>
        <sz val="8"/>
        <rFont val="Times New Roman"/>
        <family val="1"/>
      </rPr>
      <t>2</t>
    </r>
    <r>
      <rPr>
        <b/>
        <sz val="8"/>
        <rFont val="Times New Roman"/>
        <family val="1"/>
      </rPr>
      <t>O</t>
    </r>
  </si>
  <si>
    <r>
      <rPr>
        <b/>
        <sz val="7"/>
        <rFont val="Times New Roman"/>
        <family val="1"/>
      </rPr>
      <t>Factor de emisión por defecto</t>
    </r>
  </si>
  <si>
    <r>
      <rPr>
        <b/>
        <sz val="7"/>
        <rFont val="Times New Roman"/>
        <family val="1"/>
      </rPr>
      <t>Inferior</t>
    </r>
  </si>
  <si>
    <r>
      <rPr>
        <b/>
        <sz val="7"/>
        <rFont val="Times New Roman"/>
        <family val="1"/>
      </rPr>
      <t>Superior</t>
    </r>
  </si>
  <si>
    <r>
      <rPr>
        <sz val="8"/>
        <rFont val="Times New Roman"/>
        <family val="1"/>
      </rPr>
      <t>Crude Oil</t>
    </r>
  </si>
  <si>
    <r>
      <rPr>
        <sz val="8"/>
        <rFont val="Times New Roman"/>
        <family val="1"/>
      </rPr>
      <t>Orimulsion</t>
    </r>
  </si>
  <si>
    <r>
      <rPr>
        <sz val="8"/>
        <rFont val="Times New Roman"/>
        <family val="1"/>
      </rPr>
      <t>Natural Gas Liquids</t>
    </r>
  </si>
  <si>
    <r>
      <rPr>
        <sz val="8"/>
        <rFont val="Times New Roman"/>
        <family val="1"/>
      </rPr>
      <t>Gasoline</t>
    </r>
  </si>
  <si>
    <r>
      <rPr>
        <sz val="8"/>
        <rFont val="Times New Roman"/>
        <family val="1"/>
      </rPr>
      <t>Motor Gasoline</t>
    </r>
  </si>
  <si>
    <r>
      <rPr>
        <sz val="8"/>
        <rFont val="Times New Roman"/>
        <family val="1"/>
      </rPr>
      <t>Aviation Gasoline</t>
    </r>
  </si>
  <si>
    <r>
      <rPr>
        <sz val="8"/>
        <rFont val="Times New Roman"/>
        <family val="1"/>
      </rPr>
      <t>Jet Gasoline</t>
    </r>
  </si>
  <si>
    <r>
      <rPr>
        <sz val="8"/>
        <rFont val="Times New Roman"/>
        <family val="1"/>
      </rPr>
      <t>Jet Kerosene</t>
    </r>
  </si>
  <si>
    <r>
      <rPr>
        <sz val="8"/>
        <rFont val="Times New Roman"/>
        <family val="1"/>
      </rPr>
      <t>Shale Oil</t>
    </r>
  </si>
  <si>
    <r>
      <rPr>
        <sz val="8"/>
        <rFont val="Times New Roman"/>
        <family val="1"/>
      </rPr>
      <t>Gas/Diesel Oil</t>
    </r>
  </si>
  <si>
    <r>
      <rPr>
        <sz val="8"/>
        <rFont val="Times New Roman"/>
        <family val="1"/>
      </rPr>
      <t>Ethane</t>
    </r>
  </si>
  <si>
    <r>
      <rPr>
        <sz val="8"/>
        <rFont val="Times New Roman"/>
        <family val="1"/>
      </rPr>
      <t>Bitumen</t>
    </r>
  </si>
  <si>
    <r>
      <rPr>
        <sz val="8"/>
        <rFont val="Times New Roman"/>
        <family val="1"/>
      </rPr>
      <t>Lubricants</t>
    </r>
  </si>
  <si>
    <r>
      <rPr>
        <sz val="8"/>
        <rFont val="Times New Roman"/>
        <family val="1"/>
      </rPr>
      <t>Refinery Feedstocks</t>
    </r>
  </si>
  <si>
    <t>óleo</t>
  </si>
  <si>
    <r>
      <rPr>
        <sz val="8"/>
        <rFont val="Times New Roman"/>
        <family val="1"/>
      </rPr>
      <t>Other Oil</t>
    </r>
  </si>
  <si>
    <r>
      <rPr>
        <sz val="8"/>
        <rFont val="Times New Roman"/>
        <family val="1"/>
      </rPr>
      <t>Paraffin Waxes</t>
    </r>
  </si>
  <si>
    <t>Otro petr</t>
  </si>
  <si>
    <t>Espíritu blanco y</t>
  </si>
  <si>
    <r>
      <rPr>
        <sz val="8"/>
        <rFont val="Times New Roman"/>
        <family val="1"/>
      </rPr>
      <t>White Spirit and SBP</t>
    </r>
  </si>
  <si>
    <t>SBP</t>
  </si>
  <si>
    <r>
      <rPr>
        <sz val="8"/>
        <rFont val="Times New Roman"/>
        <family val="1"/>
      </rPr>
      <t>Other Petroleum Products</t>
    </r>
  </si>
  <si>
    <r>
      <rPr>
        <sz val="8"/>
        <rFont val="Times New Roman"/>
        <family val="1"/>
      </rPr>
      <t>Anthracite</t>
    </r>
  </si>
  <si>
    <r>
      <rPr>
        <sz val="8"/>
        <rFont val="Times New Roman"/>
        <family val="1"/>
      </rPr>
      <t>Other Bituminous Coal</t>
    </r>
  </si>
  <si>
    <t>Carbón bitumino</t>
  </si>
  <si>
    <t>sub- so</t>
  </si>
  <si>
    <r>
      <rPr>
        <sz val="8"/>
        <rFont val="Times New Roman"/>
        <family val="1"/>
      </rPr>
      <t>Sub-Bituminous Coal</t>
    </r>
  </si>
  <si>
    <r>
      <rPr>
        <sz val="8"/>
        <rFont val="Times New Roman"/>
        <family val="1"/>
      </rPr>
      <t>Lignite</t>
    </r>
  </si>
  <si>
    <r>
      <rPr>
        <sz val="8"/>
        <rFont val="Times New Roman"/>
        <family val="1"/>
      </rPr>
      <t>Oil Shale and Tar Sands</t>
    </r>
  </si>
  <si>
    <t>Brique de ligni</t>
  </si>
  <si>
    <t>tas de carbón to</t>
  </si>
  <si>
    <r>
      <rPr>
        <sz val="8"/>
        <rFont val="Times New Roman"/>
        <family val="1"/>
      </rPr>
      <t>Brown Coal Briquettes</t>
    </r>
  </si>
  <si>
    <r>
      <rPr>
        <sz val="8"/>
        <rFont val="Times New Roman"/>
        <family val="1"/>
      </rPr>
      <t>Patent Fuel</t>
    </r>
  </si>
  <si>
    <r>
      <rPr>
        <sz val="8"/>
        <rFont val="Times New Roman"/>
        <family val="1"/>
      </rPr>
      <t>Coke</t>
    </r>
  </si>
  <si>
    <r>
      <rPr>
        <sz val="8"/>
        <rFont val="Times New Roman"/>
        <family val="1"/>
      </rPr>
      <t>Coke Oven Coke and Lignite Coke</t>
    </r>
  </si>
  <si>
    <r>
      <rPr>
        <sz val="8"/>
        <rFont val="Times New Roman"/>
        <family val="1"/>
      </rPr>
      <t>Gas Coke</t>
    </r>
  </si>
  <si>
    <r>
      <rPr>
        <sz val="8"/>
        <rFont val="Times New Roman"/>
        <family val="1"/>
      </rPr>
      <t>Coal Tar</t>
    </r>
  </si>
  <si>
    <r>
      <rPr>
        <sz val="8"/>
        <rFont val="Times New Roman"/>
        <family val="1"/>
      </rPr>
      <t>Derived Gases</t>
    </r>
  </si>
  <si>
    <r>
      <rPr>
        <sz val="8"/>
        <rFont val="Times New Roman"/>
        <family val="1"/>
      </rPr>
      <t>Gas Works Gas</t>
    </r>
  </si>
  <si>
    <r>
      <rPr>
        <sz val="8"/>
        <rFont val="Times New Roman"/>
        <family val="1"/>
      </rPr>
      <t>Coke Oven Gas</t>
    </r>
  </si>
  <si>
    <r>
      <rPr>
        <sz val="8"/>
        <rFont val="Times New Roman"/>
        <family val="1"/>
      </rPr>
      <t>Oxygen Steel Furnace Gas</t>
    </r>
  </si>
  <si>
    <r>
      <rPr>
        <sz val="8"/>
        <rFont val="Times New Roman"/>
        <family val="1"/>
      </rPr>
      <t>Natural Gas</t>
    </r>
  </si>
  <si>
    <r>
      <rPr>
        <sz val="8"/>
        <rFont val="Times New Roman"/>
        <family val="1"/>
      </rPr>
      <t>Municipal Wastes (non- biomass fraction)</t>
    </r>
  </si>
  <si>
    <r>
      <rPr>
        <sz val="8"/>
        <rFont val="Times New Roman"/>
        <family val="1"/>
      </rPr>
      <t>Industrial Wastes</t>
    </r>
  </si>
  <si>
    <r>
      <rPr>
        <sz val="8"/>
        <rFont val="Times New Roman"/>
        <family val="1"/>
      </rPr>
      <t>Waste Oils</t>
    </r>
  </si>
  <si>
    <r>
      <rPr>
        <sz val="8"/>
        <rFont val="Times New Roman"/>
        <family val="1"/>
      </rPr>
      <t>Peat</t>
    </r>
  </si>
  <si>
    <r>
      <rPr>
        <sz val="8"/>
        <rFont val="Times New Roman"/>
        <family val="1"/>
      </rPr>
      <t>Solid Biofuels</t>
    </r>
  </si>
  <si>
    <r>
      <rPr>
        <sz val="8"/>
        <rFont val="Times New Roman"/>
        <family val="1"/>
      </rPr>
      <t>Wood / Wood Waste</t>
    </r>
  </si>
  <si>
    <r>
      <t>Lejía de sulfito (licor negro)</t>
    </r>
    <r>
      <rPr>
        <vertAlign val="superscript"/>
        <sz val="9"/>
        <rFont val="Times New Roman"/>
        <family val="1"/>
      </rPr>
      <t>(a)</t>
    </r>
  </si>
  <si>
    <r>
      <rPr>
        <sz val="8"/>
        <rFont val="Times New Roman"/>
        <family val="1"/>
      </rPr>
      <t>Sulphite lyes (Black Liquor)</t>
    </r>
    <r>
      <rPr>
        <vertAlign val="superscript"/>
        <sz val="8"/>
        <rFont val="Times New Roman"/>
        <family val="1"/>
      </rPr>
      <t>a</t>
    </r>
  </si>
  <si>
    <r>
      <rPr>
        <sz val="8"/>
        <rFont val="Times New Roman"/>
        <family val="1"/>
      </rPr>
      <t>Other Primary Solid Biomass</t>
    </r>
  </si>
  <si>
    <r>
      <rPr>
        <sz val="8"/>
        <rFont val="Times New Roman"/>
        <family val="1"/>
      </rPr>
      <t>Charcoal</t>
    </r>
  </si>
  <si>
    <r>
      <rPr>
        <sz val="8"/>
        <rFont val="Times New Roman"/>
        <family val="1"/>
      </rPr>
      <t>Liquid Biofuels</t>
    </r>
  </si>
  <si>
    <r>
      <rPr>
        <sz val="8"/>
        <rFont val="Times New Roman"/>
        <family val="1"/>
      </rPr>
      <t>Biogasoline</t>
    </r>
  </si>
  <si>
    <r>
      <rPr>
        <sz val="8"/>
        <rFont val="Times New Roman"/>
        <family val="1"/>
      </rPr>
      <t>Biodiesels</t>
    </r>
  </si>
  <si>
    <r>
      <rPr>
        <sz val="8"/>
        <rFont val="Times New Roman"/>
        <family val="1"/>
      </rPr>
      <t>Other Liquid Biofuels</t>
    </r>
  </si>
  <si>
    <r>
      <rPr>
        <sz val="8"/>
        <rFont val="Times New Roman"/>
        <family val="1"/>
      </rPr>
      <t>Gas Biomass</t>
    </r>
  </si>
  <si>
    <r>
      <rPr>
        <sz val="8"/>
        <rFont val="Times New Roman"/>
        <family val="1"/>
      </rPr>
      <t>Landfill Gas</t>
    </r>
  </si>
  <si>
    <r>
      <rPr>
        <sz val="8"/>
        <rFont val="Times New Roman"/>
        <family val="1"/>
      </rPr>
      <t>Sludge Gas</t>
    </r>
  </si>
  <si>
    <r>
      <rPr>
        <sz val="8"/>
        <rFont val="Times New Roman"/>
        <family val="1"/>
      </rPr>
      <t>Other Biogas</t>
    </r>
  </si>
  <si>
    <t>Otros combustibles</t>
  </si>
  <si>
    <r>
      <rPr>
        <sz val="8"/>
        <rFont val="Times New Roman"/>
        <family val="1"/>
      </rPr>
      <t>Other non-</t>
    </r>
  </si>
  <si>
    <r>
      <rPr>
        <sz val="8"/>
        <rFont val="Times New Roman"/>
        <family val="1"/>
      </rPr>
      <t>Municipal Wastes (biomass fraction)</t>
    </r>
  </si>
  <si>
    <r>
      <rPr>
        <vertAlign val="superscript"/>
        <sz val="7.5"/>
        <rFont val="Times New Roman"/>
        <family val="1"/>
      </rPr>
      <t>(a)</t>
    </r>
    <r>
      <rPr>
        <sz val="7.5"/>
        <rFont val="Times New Roman"/>
        <family val="1"/>
      </rPr>
      <t>Incluye el CO</t>
    </r>
    <r>
      <rPr>
        <vertAlign val="subscript"/>
        <sz val="7.5"/>
        <rFont val="Times New Roman"/>
        <family val="1"/>
      </rPr>
      <t>2</t>
    </r>
    <r>
      <rPr>
        <sz val="7.5"/>
        <rFont val="Times New Roman"/>
        <family val="1"/>
      </rPr>
      <t xml:space="preserve"> derivado de la biomasa emitido desde la unidad de combustión de licor negro y el CO</t>
    </r>
    <r>
      <rPr>
        <vertAlign val="subscript"/>
        <sz val="7.5"/>
        <rFont val="Times New Roman"/>
        <family val="1"/>
      </rPr>
      <t>2</t>
    </r>
    <r>
      <rPr>
        <sz val="7.5"/>
        <rFont val="Times New Roman"/>
        <family val="1"/>
      </rPr>
      <t xml:space="preserve"> derivado de la biomasa emitido desde el horno de cal de la planta de kraft.
</t>
    </r>
    <r>
      <rPr>
        <b/>
        <sz val="7.5"/>
        <rFont val="Times New Roman"/>
        <family val="1"/>
      </rPr>
      <t xml:space="preserve">n  </t>
    </r>
    <r>
      <rPr>
        <sz val="7.5"/>
        <rFont val="Times New Roman"/>
        <family val="1"/>
      </rPr>
      <t xml:space="preserve">Indica un factor de emisión nuevo que no estaba presente en las Directrices del IPCC de 1996.
</t>
    </r>
    <r>
      <rPr>
        <b/>
        <sz val="7.5"/>
        <rFont val="Times New Roman"/>
        <family val="1"/>
      </rPr>
      <t xml:space="preserve">r  </t>
    </r>
    <r>
      <rPr>
        <sz val="7.5"/>
        <rFont val="Times New Roman"/>
        <family val="1"/>
      </rPr>
      <t>Indica un factor de emisión que se revisó a partir de las Directrices del IPCC de 1996</t>
    </r>
    <r>
      <rPr>
        <i/>
        <sz val="7.5"/>
        <rFont val="Times New Roman"/>
        <family val="1"/>
      </rPr>
      <t>.</t>
    </r>
  </si>
  <si>
    <t>CUADRO 3.2.1 FACTORES DE EMISIÓN DE CO2 POR DEFECTO DEL TRANSPORTE TERRESTRE Y RANGOS DE INCERTIDUMBRE (a)</t>
  </si>
  <si>
    <t>Tipo de combustible</t>
  </si>
  <si>
    <t>Por defecto (kg/TJ)</t>
  </si>
  <si>
    <t>Queroseno</t>
  </si>
  <si>
    <t>Lubricantes (b)</t>
  </si>
  <si>
    <t>Gas natural comprimido</t>
  </si>
  <si>
    <t>Fuente: Cuadro 1.4 del capítulo Introducción del Volumen Energía. Notas: a Los valores representan el 100 por ciento de oxidación del contenido de carbono del combustible. b Véase el Recuadro 3.2.4 Lubricantes en la combustión móvil para obtener una orientación acerca de los usos de los lubricantes.</t>
  </si>
  <si>
    <t>CUADRO 3.2.2
FACTORES DE EMISIÓN POR DEFECTO DE N2O Y CH4 DEL TRANSPORTE TERRESTRE Y RANGOS DE INCERTIDUMBRE (a)</t>
  </si>
  <si>
    <t>Tipo de combustible / Categoría representativa de vehículo</t>
  </si>
  <si>
    <t>CH4 (kg/TJ)</t>
  </si>
  <si>
    <t>N2O (kg/TJ)</t>
  </si>
  <si>
    <t>Gasolina para motores - sin controlar (b)</t>
  </si>
  <si>
    <t>Gasolina para motores - catalizador de oxidación (c)</t>
  </si>
  <si>
    <t>Gasolina para motores - vehículo para servicio con poco kilometraje, modelo 1995 o más nuevo (d)</t>
  </si>
  <si>
    <t>Gas/Diesel Oil (e)</t>
  </si>
  <si>
    <t>Gas natural (f)</t>
  </si>
  <si>
    <t>Gas licuado de petróleo (g)</t>
  </si>
  <si>
    <t>na</t>
  </si>
  <si>
    <t>Etanol, camiones Estados Unidos (h)</t>
  </si>
  <si>
    <t>Etanol, cautomóviles, Brasil (i)</t>
  </si>
  <si>
    <t xml:space="preserve">Fuentes: USEPA (2004b), AEMA (2005a), TNO (2003) y Borsari (2005) CETESB (2004 &amp; 2005) con las hipótesis que se presentan a continuación Se derivaron los rangos de incertidumbre de los datos incluidos en Lipman y Delucchi (2002), con excepción del etanol en los automóviles.
(a) Con excepción de los automóviles que funcionan con GLP y etanol, los valores por defecto se derivan de las fuentes indicadas con los valores VCN declarados en el capítulo Introducción del volumen Energía, los valores de densidad declarados por la Administración de Información de Energía de Estados Unidos; y los siguientes valores de consumo de combustible supuestos y representativos: 10 km/l para los vehículos con motores para gasolina; 5 km/l para los vehículos diesel; 9 km/l para los vehículos a gas natural (se supone que es equivalente a los vehículos a gasolina); 9 km/l para los vehículos que funcionan con etanol. Si están disponibles los valores reales y representativos de la economía del combustible, se recomienda utilizarlos con los datos de uso total de combustible, para estimar los datos totales de distancias recorridas, que luego deben multiplicarse por los factores de emisión del Nivel 2 para N2O y CH4.
(b) El valor por defecto sin controlar de la gasolina para motores se basa en el valor de USEPA (2004b) para un vehículo ligero a gasolina de los Estados Unidos (automóvil): sin controlar, convertido con los valores y las hipótesis descritos en la nota (a) del cuadro. Si las motocicletas representan una parte significativa de la población nacional de vehículos, los compiladores del inventario deben ajustar hacia abajo el factor de emisión por defecto dado.
(c) Gasolina para motores: el valor por defecto del catalizador de oxidación de los vehículos ligeros se basa en el valor de USEPA (2004b) para un vehículo ligero a gasolina de los Estados Unidos (automóvil): catalizador de oxidación, convertido con los valores y las hipótesis descritos en la nota (a) del cuadro. Si las motocicletas representan una parte significativa de la población nacional de vehículos, los compiladores del inventario deben ajustar hacia abajo el factor de emisión por defecto dado.
(d) Gasolina para motores: el valor por defecto de los vehículos ligeros modelo 1995 o más nuevos se basa en el valor de USEPA (2004b) para un vehículo ligero a gasolina de los Estados Unidos (automóvil): Nivel 1, convertido con los valores y las hipótesis descritos en la nota (a) del cuadro. Si las motocicletas representan una parte significativa de la población nacional de vehículos, los compiladores del inventario deben ajustar hacia abajo el factor de emisión por defecto dado.
(e) El valor diesel por defecto se basa en el valor de la AEMA (2005a) para un camión pesado diesel europeo, convertido con los valores y las hipótesis descritos en la nota (a) del cuadro.
(f) Los valores por defecto e inferiores del gas natural se basaron en un estudio de TNO (2003), realizado usando vehículos europeos y ciclos de pruebas en los Países Bajos. Hay mucha incertidumbre para el N2O. La USEPA (2004b) tiene un valor por defecto de 350 kg CH4/TJ y 28 kg N2O/TJ para un automóvil de GNC de Estados Unidos, convertido usando los valores y las hipótesis descritos en la nota (a) del cuadro. Los límites superior e inferior también fueron tomados de USEPA (2004b)
(g) El valor por defecto para las emisiones de metano del GLP, considerando para un valor de calefacción bajo de 50 MJ/kg y se obtuvo 3,1 g CH4/kg GLP de TNO (2003). No se proporcionaron rangos de incertidumbre.
(h) El valor por defecto del etanol se basa en el valor de la USEPA (2004b) para un camión pesado a etanol de Estados Unidos, convertido con los valores y las hipótesis descritos en la nota (a) del cuadro.
(i) Datos obtenidos en vehículos brasileños por Borsari (2005) y CETESB (2004 &amp; 2005). Para los modelos 2003 nuevos, el mejor caso es: 51,3 kg THC/TJ combustible y 26,0 por ciento de CH4 en THC. Para los vehículos de 5 años de antigüedad: 67 kg THC/TJ combustible y 27,2 por ciento de CH4 en THC. Para los de 10 años de antigüedad: 308 kg THC/TJ combustible y 27,2 por ciento de CH4 en THC. </t>
  </si>
  <si>
    <t>Densidades y Poderes Caloríficos</t>
  </si>
  <si>
    <t>Utilizados en el Balance</t>
  </si>
  <si>
    <t>BNE 2020</t>
  </si>
  <si>
    <t>BNE 2021</t>
  </si>
  <si>
    <t>Producto</t>
  </si>
  <si>
    <t>Densidad Ton/m3</t>
  </si>
  <si>
    <t>Poder Calorífico</t>
  </si>
  <si>
    <t>Petróleo Crudo Nacional</t>
  </si>
  <si>
    <t>Petróleo Crudo Importado</t>
  </si>
  <si>
    <t>Petróleo Combustible IFO 180</t>
  </si>
  <si>
    <t>Gasolina de Aviación</t>
  </si>
  <si>
    <t>Kerosene de Aviación</t>
  </si>
  <si>
    <t>Biomasa</t>
  </si>
  <si>
    <t>Gas Natural Licuado</t>
  </si>
  <si>
    <t>Coque Mineral</t>
  </si>
  <si>
    <t>Licor Negro</t>
  </si>
  <si>
    <t>Biogás</t>
  </si>
  <si>
    <t>Electricidad</t>
  </si>
  <si>
    <t>kcal/kWh</t>
  </si>
  <si>
    <t>Notas:</t>
  </si>
  <si>
    <t>(*)     Promedio Isla, Continente y Costa Afuera</t>
  </si>
  <si>
    <t>(1) Equivalente Calórico práctico para Chile 2.750 kCal/kWh hasta 1997</t>
  </si>
  <si>
    <t>(1) Equivalente Calórico práctico para Chile 2.504 kCal/kWh desde 1998</t>
  </si>
  <si>
    <t>Elaboración: Ministerio de Energía, Noviembre 2021</t>
  </si>
  <si>
    <t>Elaboración: Ministerio de Energía, Noviembre 2022</t>
  </si>
  <si>
    <t>TABLE 3.3.1
DEFAULT EMISSION FACTORS FOR OFF-ROAD MOBILE SOURCES AND MACHINERY (a)</t>
  </si>
  <si>
    <t>(b) CH4</t>
  </si>
  <si>
    <t>N2O (c)</t>
  </si>
  <si>
    <t>Off- Road Source</t>
  </si>
  <si>
    <t>Default (kg/TJ)</t>
  </si>
  <si>
    <t>Lower</t>
  </si>
  <si>
    <t>Upper</t>
  </si>
  <si>
    <t>Diesel</t>
  </si>
  <si>
    <t>Agriculture</t>
  </si>
  <si>
    <t>Forestry</t>
  </si>
  <si>
    <t>Industry</t>
  </si>
  <si>
    <t>Household</t>
  </si>
  <si>
    <t>Motor Gasoline 4-Stroke</t>
  </si>
  <si>
    <t>Motor Gasoline 2-Stroke</t>
  </si>
  <si>
    <t>Source: EEA 2005.
Note: CO2 emission factor values represent full carbon content.
a  Data provided in Table 3.3.1 are based on European off-road mobile sources and machinery. For gasoline, in case fuel consumption by sector is not discriminated, default values may be obtained according to national circumstances, e.g. prevalence of a given sector or weighting by activity
b  Including diurnal, soak and running losses.
c  In general, off-road vehicles do not have emission control catalysts installed (there may be exceptions among off-road vehicles in urban areas, such as ground support equipment used in urban airports and harbours). Properly operating catalysts convert nitrogen oxides to N2O and CH4 to CO2. However, exposure of catalysts to high-sulphur or leaded fuels, even once, causes permanent deterioration (Walsh, 2003). This effect, if applicable, should be considered when adjusting emission factors.</t>
  </si>
  <si>
    <t>TABLE 3.4.1
DEFAULT EMISSION FACTORS FOR THE MOST COMMON FUELS USED FOR RAIL TRANSPORT</t>
  </si>
  <si>
    <t>Gas</t>
  </si>
  <si>
    <t>Diesel (kg/TJ)</t>
  </si>
  <si>
    <t>Sub-bituminous Coal (kg/TJ)</t>
  </si>
  <si>
    <t>Default</t>
  </si>
  <si>
    <t>CH4 1</t>
  </si>
  <si>
    <t>N2O 1</t>
  </si>
  <si>
    <t>Notes:
1 For an average fuel consumption of 0.35 litres per bhp-hr (break horse power-hour) for a 4000 HP locomotive, (0.47 litres per kWh for a 2983 kW locomotive).(Dunn, 2001).
2 The emission factors for diesel are derived from (EEA, 2005) (Table 8-1), while for coal from Table
2.2 of the Stationary Combustion chapter.</t>
  </si>
  <si>
    <t>TABLE 3.5.2
CO2 EMISSION FACTORS</t>
  </si>
  <si>
    <t>kg/TJ</t>
  </si>
  <si>
    <t>Fuel</t>
  </si>
  <si>
    <t>Gasoline</t>
  </si>
  <si>
    <t>Other Oil</t>
  </si>
  <si>
    <t>Paraffin Waxes</t>
  </si>
  <si>
    <t>White Spirit &amp; SBP</t>
  </si>
  <si>
    <t>Other Petroleum Products</t>
  </si>
  <si>
    <t>Natural Gas</t>
  </si>
  <si>
    <t>TABLE 3.5.3
DEFAULT WATER-BORNE NAVIGATION CH4 AND N2O EMISSION FACTORS</t>
  </si>
  <si>
    <t>CH4
(kg/TJ)</t>
  </si>
  <si>
    <t>+-%</t>
  </si>
  <si>
    <t>N2O
(kg/TJ)</t>
  </si>
  <si>
    <t>Ocean-going Ships *</t>
  </si>
  <si>
    <t>+140%
-40%</t>
  </si>
  <si>
    <t>*Default values derived for diesel engines using heavy fuel oil.
Source: Lloyd’s Register (1995) and EC (2002)</t>
  </si>
  <si>
    <t>TABLE 3.6.4
CO2 EMISSION FACTORS</t>
  </si>
  <si>
    <t>Aviation Gasoline</t>
  </si>
  <si>
    <t>Jet Kerosene</t>
  </si>
  <si>
    <t>TABLE 3.6.5
NON-CO2 EMISSION FACTORS</t>
  </si>
  <si>
    <t>CH4 Default (Uncontrolled) Factors (in kg/TJ)</t>
  </si>
  <si>
    <t>N2O Default (Uncontrolled) Factors (in kg/TJ)</t>
  </si>
  <si>
    <t>NOx Default (Uncontrolled) Factors (in kg/TJ)</t>
  </si>
  <si>
    <t>All fuels</t>
  </si>
  <si>
    <t>(-57%/+100%)b</t>
  </si>
  <si>
    <t>(-70%/+150%) b</t>
  </si>
  <si>
    <t>+25% c</t>
  </si>
  <si>
    <t>a  In the cruise mode CH4 emissions are assumed to be negligible (Wiesen et al., 1994).  For LTO cycles only (i.e., below an altitude of 914 metres (3000 ft.)) the emission factor is 5 kg/TJ (10% of total VOC factor) (Olivier, 1991). Since globally about 10% of the total fuel is consumed in LTO cycles (Olivier, 1995), the resulting fleet averaged factor is 0.5 kg/TJ.
b IPCC, 1999.
c Expert Judgement.
Emission factors for other gases (CO and NMVOC) and sulphur content which were included in the 1996 IPCC Guidelines can be found in the EFDB.</t>
  </si>
  <si>
    <t>Procesos industriales</t>
  </si>
  <si>
    <t>CO2
(kg GEI/ unidad)</t>
  </si>
  <si>
    <t>CH4 (kg GEI/ unidad)</t>
  </si>
  <si>
    <t>N2O (kg GEI/ unidad)</t>
  </si>
  <si>
    <t>HFC (kg GEI/ unidad)</t>
  </si>
  <si>
    <t>PFC (kg GEI/ unidad)</t>
  </si>
  <si>
    <t>SF6 (kg GEI/ unidad)</t>
  </si>
  <si>
    <t>NF3 (kg GEI/ unidad)</t>
  </si>
  <si>
    <t>CO2 (kg CO2e/ unidad)</t>
  </si>
  <si>
    <t>CH4 (kg CO2e/ unidad)</t>
  </si>
  <si>
    <t>N2O (kg CO2e/ unidad)</t>
  </si>
  <si>
    <t>HFC (kg CO2e/ unidad)</t>
  </si>
  <si>
    <t>PFC (kg CO2e/ unidad)</t>
  </si>
  <si>
    <t>SF6 (kg CO2e/ unidad)</t>
  </si>
  <si>
    <t>NF3 (kg CO2e/ unidad)</t>
  </si>
  <si>
    <t>CO2e (kg CO2e/ unidad)</t>
  </si>
  <si>
    <t>INGEI + IPCC 2006. Ver su hoja correspondiente para más detalles.</t>
  </si>
  <si>
    <t>Nombre documento</t>
  </si>
  <si>
    <t>Informe del Inventario Nacional de Gases de Efecto Invernadero de Chile 1990-2020</t>
  </si>
  <si>
    <t>https://snichile.mma.gob.cl/wp-content/uploads/2023/04/2022_IIN_CL.pdf</t>
  </si>
  <si>
    <t>M_cl</t>
  </si>
  <si>
    <t>EF_cl (t CO2/t clínker)</t>
  </si>
  <si>
    <t>CF_CKD (-)</t>
  </si>
  <si>
    <t>Emisiones de CO2 (t CO2/ t clínker)</t>
  </si>
  <si>
    <t>Relación clínker/cemento</t>
  </si>
  <si>
    <t>Emisiones de CO2 (t CO2/ t cemento)</t>
  </si>
  <si>
    <t>M_l,i</t>
  </si>
  <si>
    <t>SR_CaO (t CO2/t CaO)</t>
  </si>
  <si>
    <t>Contenido CaO (t CaO/t cal)</t>
  </si>
  <si>
    <t>EF_cal,i (t CO2/t cal)</t>
  </si>
  <si>
    <t>CF_lkd,i (-)</t>
  </si>
  <si>
    <t>C_h,i</t>
  </si>
  <si>
    <t>Emisiones de CO2 (t CO2/ t cal)</t>
  </si>
  <si>
    <t>Dato a utilizar</t>
  </si>
  <si>
    <t>M_gi (ton vidrio)</t>
  </si>
  <si>
    <t>EF_i (t CO2/t vidrio)</t>
  </si>
  <si>
    <t>CR_i</t>
  </si>
  <si>
    <t>Emisiones de CO2 (t CO2/ t vidrio)</t>
  </si>
  <si>
    <t>Recipiente</t>
  </si>
  <si>
    <t>Flotado</t>
  </si>
  <si>
    <t>Año</t>
  </si>
  <si>
    <t>Producción (t)</t>
  </si>
  <si>
    <t>% de cullet</t>
  </si>
  <si>
    <t>Suma Producción (t)</t>
  </si>
  <si>
    <t>Sumaproducto Producción (t) y % de cullet</t>
  </si>
  <si>
    <t>Promedio ponderado</t>
  </si>
  <si>
    <t>Suma Producción (t) (recipiente y flotado)</t>
  </si>
  <si>
    <t>Sumaproducto (recipiente y flotado)</t>
  </si>
  <si>
    <t>IPCC 2006 -Capítulo 4 - Emisiones de la industria de los metales</t>
  </si>
  <si>
    <t>Enlace</t>
  </si>
  <si>
    <t>https://www.ipcc-nggip.iges.or.jp/public/2006gl/spanish/pdf/3_Volume3/V3_4_Ch4_Metal_Industry.pdf</t>
  </si>
  <si>
    <t>Actividad</t>
  </si>
  <si>
    <t>FE CO2
t CO2/ t producto</t>
  </si>
  <si>
    <t>FE tCH4/t producto</t>
  </si>
  <si>
    <t>Producción de acero BOF</t>
  </si>
  <si>
    <t>Producción de acero EAF</t>
  </si>
  <si>
    <t>Producción de pelets de hierro</t>
  </si>
  <si>
    <t>Producción de Arrabio</t>
  </si>
  <si>
    <t>Producción de Hierro</t>
  </si>
  <si>
    <t>Horno de Coque</t>
  </si>
  <si>
    <t>IPCC 2006 -Capítulo 3 - Emisiones de la industria química</t>
  </si>
  <si>
    <t>Enlace 1</t>
  </si>
  <si>
    <t>https://www.ipcc-nggip.iges.or.jp/public/2006gl/spanish/pdf/3_Volume3/V3_3_Ch3_Chemical_Industry.pdf</t>
  </si>
  <si>
    <t>Enlace 2</t>
  </si>
  <si>
    <t>FE N2O t N2O/ t producto (Se considera factor de incertidumbre +-10%)</t>
  </si>
  <si>
    <t>Nombre para búsqueda</t>
  </si>
  <si>
    <t>Protocolo</t>
  </si>
  <si>
    <t>Nombre en IPCC o AR5</t>
  </si>
  <si>
    <t>Unidad dato de actividad</t>
  </si>
  <si>
    <t>Factor de emisión (GWP100)</t>
  </si>
  <si>
    <t>Unidad factor de emisión</t>
  </si>
  <si>
    <t>Kioto</t>
  </si>
  <si>
    <t>IPCC 2006 (vol3; chapter 7) , Table 7.8 | IPCC 2012 (AR5; chapter 8), Table 8.A.1</t>
  </si>
  <si>
    <t>HFC-43-10mee</t>
  </si>
  <si>
    <t>PFC-31-10</t>
  </si>
  <si>
    <t>PFC-318</t>
  </si>
  <si>
    <t>PFC-116</t>
  </si>
  <si>
    <t>PFC-51-14</t>
  </si>
  <si>
    <t>PFC-14</t>
  </si>
  <si>
    <t>PFC-41-12</t>
  </si>
  <si>
    <t>PFC-218</t>
  </si>
  <si>
    <t>Sulphur hexafluoride</t>
  </si>
  <si>
    <t>Methane</t>
  </si>
  <si>
    <t>Nitrogen trifluoride</t>
  </si>
  <si>
    <t>R507A</t>
  </si>
  <si>
    <t>HFE-236ea2 (desflurane)</t>
  </si>
  <si>
    <t xml:space="preserve"> </t>
  </si>
  <si>
    <t>HCFC-22</t>
  </si>
  <si>
    <t>Montreal</t>
  </si>
  <si>
    <t>CFC-11</t>
  </si>
  <si>
    <t>CFC-12</t>
  </si>
  <si>
    <t>Methyl bromide</t>
  </si>
  <si>
    <t>Carbon dioxide</t>
  </si>
  <si>
    <t>IPCC 2006 (vol3; chapter 7) , Table 7.8 | IPCC 2012 (AR5; chapter 8), Table 8.A.1 /Referencia HuellaChile</t>
  </si>
  <si>
    <t>HCFE-235da2 (isoflurane)</t>
  </si>
  <si>
    <t>Sevoflurane (HFE-347mmz1)</t>
  </si>
  <si>
    <t>Nitrous Oxide</t>
  </si>
  <si>
    <t>Table 8.A.1 | Radiative efficiencies (REs), lifetimes/adjustment times, AGWP and GWP values for 20 and 100 years, and AGTP and GTP values for 20, 50 and 100 years. Climate–carbon feedbacks are included for CO2 while no climate
feedbacks are included for the other components (see discussion in Sections 8.7.1.4 and 8.7.2.1, Supplementary Material and notes below the table; Supplementary Material Table 8.SM.16 gives analogous values including climate–carbon
feedbacks for non-CO2 emissions). For a complete list of chemical names and CAS numbers, and for accurate replications of metric values, see Supplementary Material Section 8.SM.13 and references therein.</t>
  </si>
  <si>
    <t>Acronym, Common Name or Chemi-cal Name</t>
  </si>
  <si>
    <t>Chemical Formula</t>
  </si>
  <si>
    <t>Lifetime (Years)</t>
  </si>
  <si>
    <t>Radiative Efficiency (W m^{–2} ppb^{–1} )</t>
  </si>
  <si>
    <t>AGWP 20-year (W m^{–2} yr kg^{–1} )</t>
  </si>
  <si>
    <t>GWP 20-year</t>
  </si>
  <si>
    <t>AGWP 100-year  (W m^{–2}  yr kg^{–1} )</t>
  </si>
  <si>
    <t>GWP 100-year</t>
  </si>
  <si>
    <t>AGTP 20-year (K kg^{–1} )</t>
  </si>
  <si>
    <t>GTP 20-year</t>
  </si>
  <si>
    <t>AGTP 50-year (K kg^{–1} )</t>
  </si>
  <si>
    <t>GTP 50-year</t>
  </si>
  <si>
    <t>AGTP 100-year (K kg^{–1} )</t>
  </si>
  <si>
    <t>GTP 100-year</t>
  </si>
  <si>
    <t>CO_{2}</t>
  </si>
  <si>
    <t>see*</t>
  </si>
  <si>
    <t>CH_{4}</t>
  </si>
  <si>
    <t>12.4^{†}</t>
  </si>
  <si>
    <t>Fossil methane</t>
  </si>
  <si>
    <t>N_{2} O</t>
  </si>
  <si>
    <t>121^{†}</t>
  </si>
  <si>
    <t>Chlorofluorocarbons</t>
  </si>
  <si>
    <t> </t>
  </si>
  <si>
    <t>CCl_{3} F</t>
  </si>
  <si>
    <t>45.0</t>
  </si>
  <si>
    <t>CCl_{2} F_{2}</t>
  </si>
  <si>
    <t>100.0</t>
  </si>
  <si>
    <t>CClF_{3}</t>
  </si>
  <si>
    <t>640.0</t>
  </si>
  <si>
    <t>CCl_{2} FCClF_{2}</t>
  </si>
  <si>
    <t>85.0</t>
  </si>
  <si>
    <t>CClF_{2} CClF_{2}</t>
  </si>
  <si>
    <t>190.0</t>
  </si>
  <si>
    <t>CClF_{2} CF_{3}</t>
  </si>
  <si>
    <t>1,020.0</t>
  </si>
  <si>
    <t>Hydrochlorofluorocarbons</t>
  </si>
  <si>
    <t>null</t>
  </si>
  <si>
    <t>CHCl_{2} F</t>
  </si>
  <si>
    <t>1.7</t>
  </si>
  <si>
    <t>CHClF_{2}</t>
  </si>
  <si>
    <t>11.9</t>
  </si>
  <si>
    <t>HCFC-122</t>
  </si>
  <si>
    <t>CHCl_{2} CF_{2} Cl</t>
  </si>
  <si>
    <t>1.0</t>
  </si>
  <si>
    <t>HCFC-122a</t>
  </si>
  <si>
    <t>CHFClCFCl_{2}</t>
  </si>
  <si>
    <t>3.4</t>
  </si>
  <si>
    <t>CHCl_{2} CF_{3}</t>
  </si>
  <si>
    <t>1.3</t>
  </si>
  <si>
    <t>HCFC-123a</t>
  </si>
  <si>
    <t>CHClFCF_{2} Cl</t>
  </si>
  <si>
    <t>4.0</t>
  </si>
  <si>
    <t>CHClFCF_{3}</t>
  </si>
  <si>
    <t>5.9</t>
  </si>
  <si>
    <t>HCFC-132c</t>
  </si>
  <si>
    <t>CH_{2} FCFCl_{2}</t>
  </si>
  <si>
    <t>4.3</t>
  </si>
  <si>
    <t>CH_{3} CCl_{2} F</t>
  </si>
  <si>
    <t>9.2</t>
  </si>
  <si>
    <t>CH_{3} CClF_{2}</t>
  </si>
  <si>
    <t>17.2</t>
  </si>
  <si>
    <t>CHCl_{2} CF_{2} CF_{3}</t>
  </si>
  <si>
    <t>1.9</t>
  </si>
  <si>
    <t>CHClFCF_{2} CClF_{2}</t>
  </si>
  <si>
    <t>(E)-1-Chloro-3,3,3-trifluoroprop-1-ene</t>
  </si>
  <si>
    <t>trans-CF_{3} CH=CHCl</t>
  </si>
  <si>
    <t>26.0 days</t>
  </si>
  <si>
    <t>&lt;1</t>
  </si>
  <si>
    <t>Hydrofluorocarbons</t>
  </si>
  <si>
    <t>CHF_{3}</t>
  </si>
  <si>
    <t>222.0</t>
  </si>
  <si>
    <t>0.18</t>
  </si>
  <si>
    <t>CH_{2} F_{2}</t>
  </si>
  <si>
    <t>5.2</t>
  </si>
  <si>
    <t>0.11</t>
  </si>
  <si>
    <t>CH_{3} F</t>
  </si>
  <si>
    <t>2.8</t>
  </si>
  <si>
    <t>0.02</t>
  </si>
  <si>
    <t>CHF_{2} CF_{3}</t>
  </si>
  <si>
    <t>28.2</t>
  </si>
  <si>
    <t>0.23</t>
  </si>
  <si>
    <t>CHF_{2} CHF_{2}</t>
  </si>
  <si>
    <t>9.7</t>
  </si>
  <si>
    <t>0.19</t>
  </si>
  <si>
    <t>CH_{2} FCF_{3}</t>
  </si>
  <si>
    <t>13.4</t>
  </si>
  <si>
    <t>0.16</t>
  </si>
  <si>
    <t>CH_{2} FCHF_{2}</t>
  </si>
  <si>
    <t>3.5</t>
  </si>
  <si>
    <t>0.13</t>
  </si>
  <si>
    <t>CH_{3} CF_{3}</t>
  </si>
  <si>
    <t>47.1</t>
  </si>
  <si>
    <t>HFC-152</t>
  </si>
  <si>
    <t>CH_{2} FCH_{2} F</t>
  </si>
  <si>
    <t>0.4</t>
  </si>
  <si>
    <t>0.04</t>
  </si>
  <si>
    <t>CH_{3} CHF_{2}</t>
  </si>
  <si>
    <t>1.5</t>
  </si>
  <si>
    <t>0.10</t>
  </si>
  <si>
    <t>HFC-161</t>
  </si>
  <si>
    <t>CH_{3} CH_{2} F</t>
  </si>
  <si>
    <t>66.0 days</t>
  </si>
  <si>
    <t>HFC-227ca</t>
  </si>
  <si>
    <t>CF_{3} CF_{2} CHF_{2}</t>
  </si>
  <si>
    <t>0.27</t>
  </si>
  <si>
    <t>CF_{3} CHFCF_{3}</t>
  </si>
  <si>
    <t>38.9</t>
  </si>
  <si>
    <t>0.26</t>
  </si>
  <si>
    <t>HFC-236cb</t>
  </si>
  <si>
    <t>CH_{2} FCF_{2} CF_{3}</t>
  </si>
  <si>
    <t>13.1</t>
  </si>
  <si>
    <t>HFC-236ea</t>
  </si>
  <si>
    <t>CHF_{2} CHFCF_{3}</t>
  </si>
  <si>
    <t>11.0</t>
  </si>
  <si>
    <t>0.30^{a}</t>
  </si>
  <si>
    <t>CF_{3} CH_{2} CF_{3}</t>
  </si>
  <si>
    <t>242.0</t>
  </si>
  <si>
    <t>0.24</t>
  </si>
  <si>
    <t>HFC-245ca</t>
  </si>
  <si>
    <t>CH_{2} FCF_{2} CHF_{2}</t>
  </si>
  <si>
    <t>6.5</t>
  </si>
  <si>
    <t>0.24^{b}</t>
  </si>
  <si>
    <t>HFC-245cb</t>
  </si>
  <si>
    <t>CF_{3} CF_{2} CH_{3}</t>
  </si>
  <si>
    <t>HFC-245ea</t>
  </si>
  <si>
    <t>CHF_{2} CHFCHF_{2}</t>
  </si>
  <si>
    <t>3.2</t>
  </si>
  <si>
    <t>0.16^{c}</t>
  </si>
  <si>
    <t>HFC-245eb</t>
  </si>
  <si>
    <t>CH_{2} FCHFCF_{3}</t>
  </si>
  <si>
    <t>3.1</t>
  </si>
  <si>
    <t>0.20^{c}</t>
  </si>
  <si>
    <t>CHF_{2} CH_{2} CF_{3}</t>
  </si>
  <si>
    <t>7.7</t>
  </si>
  <si>
    <t>HFC-263fb</t>
  </si>
  <si>
    <t>CH_{3} CH_{2} CF_{3}</t>
  </si>
  <si>
    <t>1.2</t>
  </si>
  <si>
    <t>0.10^{c}</t>
  </si>
  <si>
    <t>HFC-272ca</t>
  </si>
  <si>
    <t>CH_{3} CF_{2} CH_{3}</t>
  </si>
  <si>
    <t>2.6</t>
  </si>
  <si>
    <t>0.07</t>
  </si>
  <si>
    <t>HFC-329p</t>
  </si>
  <si>
    <t>CHF_{2} CF_{2} CF_{2} CF_{3}</t>
  </si>
  <si>
    <t>28.4</t>
  </si>
  <si>
    <t>0.31</t>
  </si>
  <si>
    <t>HFC-365mfc</t>
  </si>
  <si>
    <t>CH_{3} CF_{2} CH_{2} CF_{3}</t>
  </si>
  <si>
    <t>8.7</t>
  </si>
  <si>
    <t>0.22</t>
  </si>
  <si>
    <t>CF_{3} CHFCHFCF_{2} CF_{3}</t>
  </si>
  <si>
    <t>16.1</t>
  </si>
  <si>
    <t>0.42^{b}</t>
  </si>
  <si>
    <t>HFC-1132a</t>
  </si>
  <si>
    <t>CH_{2} =CF_{2}</t>
  </si>
  <si>
    <t>4.0 days</t>
  </si>
  <si>
    <t>0.004^{d}</t>
  </si>
  <si>
    <t>HFC-1141</t>
  </si>
  <si>
    <t>CH_{2} =CHF</t>
  </si>
  <si>
    <t>2.1 days</t>
  </si>
  <si>
    <t>0.002^{d}</t>
  </si>
  <si>
    <t>(Z)-HFC-1225ye</t>
  </si>
  <si>
    <t>CF_{3} CF=CHF(Z)</t>
  </si>
  <si>
    <t>8.5 days</t>
  </si>
  <si>
    <t>(E)-HFC-1225ye</t>
  </si>
  <si>
    <t>CF_{3} CF=CHF(E)</t>
  </si>
  <si>
    <t>4.9 days</t>
  </si>
  <si>
    <t>0.01</t>
  </si>
  <si>
    <t>(Z)-HFC-1234ze</t>
  </si>
  <si>
    <t>CF_{3} CH=CHF(Z)</t>
  </si>
  <si>
    <t>10.0 days</t>
  </si>
  <si>
    <t>HFC-1234yf</t>
  </si>
  <si>
    <t>CF_{3} CF=CH_{2}</t>
  </si>
  <si>
    <t>10.5 days</t>
  </si>
  <si>
    <t>(E)-HFC-1234ze</t>
  </si>
  <si>
    <t>trans-CF_{3} CH=CHF</t>
  </si>
  <si>
    <t>16.4 days</t>
  </si>
  <si>
    <t>(Z)-HFC-1336</t>
  </si>
  <si>
    <t>CF_{3} CH=CHCF_{3} (Z)</t>
  </si>
  <si>
    <t>22.0 days</t>
  </si>
  <si>
    <t>0.07^{d}</t>
  </si>
  <si>
    <t>HFC-1243zf</t>
  </si>
  <si>
    <t>CF_{3} CH=CH_{2}</t>
  </si>
  <si>
    <t>7.0 days</t>
  </si>
  <si>
    <t>HFC-1345zfc</t>
  </si>
  <si>
    <t>C_{2} F_{5} CH=CH_{2}</t>
  </si>
  <si>
    <t>7.6 days</t>
  </si>
  <si>
    <t>3,3,4,4,5,5,6,6,6-Nonafluorohex-1-ene</t>
  </si>
  <si>
    <t>C_{4} F_{9} CH=CH_{2}</t>
  </si>
  <si>
    <t>0.03</t>
  </si>
  <si>
    <t>3,3,4,4,5,5,6,6,7,7,8,8,8-Tridecafluorooct-1-ene</t>
  </si>
  <si>
    <t>C_{6} F_{13} CH=CH_{2}</t>
  </si>
  <si>
    <t>3,3,4,4,5,5,6,6,7,7,8,8,9,9,10,10,10-Hep-tadecafluorodec-1-ene</t>
  </si>
  <si>
    <t>C_{8} F_{17} CH=CH_{2}</t>
  </si>
  <si>
    <t>Chlorocarbons and Hydrochlorocarbons</t>
  </si>
  <si>
    <t>Methyl chloroform</t>
  </si>
  <si>
    <t>CH_{3} CCl_{3}</t>
  </si>
  <si>
    <t>5.0</t>
  </si>
  <si>
    <t>Carbon tetrachloride</t>
  </si>
  <si>
    <t>CCl_{4}</t>
  </si>
  <si>
    <t>26.0</t>
  </si>
  <si>
    <t>0.17</t>
  </si>
  <si>
    <t>Methyl chloride</t>
  </si>
  <si>
    <t>CH_{3} Cl</t>
  </si>
  <si>
    <t>0.01^{a}</t>
  </si>
  <si>
    <t>Methylene chloride</t>
  </si>
  <si>
    <t>CH_{2} Cl_{2}</t>
  </si>
  <si>
    <t>0.03^{b}</t>
  </si>
  <si>
    <t>Chloroform</t>
  </si>
  <si>
    <t>CHCl_{3}</t>
  </si>
  <si>
    <t>0.08</t>
  </si>
  <si>
    <t>1,2-Dichloroethane</t>
  </si>
  <si>
    <t>CH_{2} ClCH_{2} Cl</t>
  </si>
  <si>
    <t>65.0 days</t>
  </si>
  <si>
    <t>Bromocarbons, Hydrobromocarbons and Halons</t>
  </si>
  <si>
    <t>CH_{3} Br</t>
  </si>
  <si>
    <t>0.8</t>
  </si>
  <si>
    <t>0.004</t>
  </si>
  <si>
    <t>Methylene bromide</t>
  </si>
  <si>
    <t>CH_{2} Br_{2}</t>
  </si>
  <si>
    <t>0.3</t>
  </si>
  <si>
    <t>Halon-1201</t>
  </si>
  <si>
    <t>CHBrF_{2}</t>
  </si>
  <si>
    <t>0.15</t>
  </si>
  <si>
    <t>Halon-1202</t>
  </si>
  <si>
    <t>CBr_{2} F_{2}</t>
  </si>
  <si>
    <t>2.9</t>
  </si>
  <si>
    <t>CBrClF_{2}</t>
  </si>
  <si>
    <t>16.0</t>
  </si>
  <si>
    <t>0.29</t>
  </si>
  <si>
    <t>CBrF_{3}</t>
  </si>
  <si>
    <t>65.0</t>
  </si>
  <si>
    <t>0.30</t>
  </si>
  <si>
    <t>Halon-2301</t>
  </si>
  <si>
    <t>CH_{2} BrCF_{3}</t>
  </si>
  <si>
    <t>0.14</t>
  </si>
  <si>
    <t>Halon-2311 / Halothane</t>
  </si>
  <si>
    <t>CHBrClCF_{3}</t>
  </si>
  <si>
    <t>Halon-2401</t>
  </si>
  <si>
    <t>CHFBrCF_{3}</t>
  </si>
  <si>
    <t>CBrF_{2} CBrF_{2}</t>
  </si>
  <si>
    <t>20.0</t>
  </si>
  <si>
    <t>Fully Fluorinated Species</t>
  </si>
  <si>
    <t>NF_{3}</t>
  </si>
  <si>
    <t>500.0</t>
  </si>
  <si>
    <t>0.20</t>
  </si>
  <si>
    <t>SF_{6}</t>
  </si>
  <si>
    <t>3,200.0</t>
  </si>
  <si>
    <t>0.57</t>
  </si>
  <si>
    <t>(Trifluoromethyl) sulphur pentafluoride</t>
  </si>
  <si>
    <t>SF_{5} CF_{3}</t>
  </si>
  <si>
    <t>800.0</t>
  </si>
  <si>
    <t>0.59</t>
  </si>
  <si>
    <t>Sulphuryl fluoride</t>
  </si>
  <si>
    <t>SO_{2} F_{2}</t>
  </si>
  <si>
    <t>36.0</t>
  </si>
  <si>
    <t>CF_{4}</t>
  </si>
  <si>
    <t>50,000.0</t>
  </si>
  <si>
    <t>0.09</t>
  </si>
  <si>
    <t>C_{2} F_{6}</t>
  </si>
  <si>
    <t>10,000.0</t>
  </si>
  <si>
    <t>0.25</t>
  </si>
  <si>
    <t>PFC-c216</t>
  </si>
  <si>
    <t>c-C_{3} F_{6}</t>
  </si>
  <si>
    <t>3,000.0</t>
  </si>
  <si>
    <t>0.23^{e}</t>
  </si>
  <si>
    <t>C_{3} F_{8}</t>
  </si>
  <si>
    <t>2,600.0</t>
  </si>
  <si>
    <t>0.28</t>
  </si>
  <si>
    <t>c-C_{4} F_{8}</t>
  </si>
  <si>
    <t>0.32</t>
  </si>
  <si>
    <t>C_{4} F_{10}</t>
  </si>
  <si>
    <t>0.36</t>
  </si>
  <si>
    <t>Perfluorocyclopentene</t>
  </si>
  <si>
    <t>c-C_{5} F_{8}</t>
  </si>
  <si>
    <t>31.0 days</t>
  </si>
  <si>
    <t>0.08^{f}</t>
  </si>
  <si>
    <t>n-C_{5} F_{12}</t>
  </si>
  <si>
    <t>4,100.0</t>
  </si>
  <si>
    <t>0.41</t>
  </si>
  <si>
    <t>n-C_{6} F_{14}</t>
  </si>
  <si>
    <t>3,100.0</t>
  </si>
  <si>
    <t>0.44</t>
  </si>
  <si>
    <t>PFC-61-16</t>
  </si>
  <si>
    <t>n-C_{7} F_{16}</t>
  </si>
  <si>
    <t>0.50</t>
  </si>
  <si>
    <t>PFC-71-18</t>
  </si>
  <si>
    <t>C_{8} F_{18}</t>
  </si>
  <si>
    <t>0.55</t>
  </si>
  <si>
    <t>PFC-91-18</t>
  </si>
  <si>
    <t>C_{10} F_{18}</t>
  </si>
  <si>
    <t>2,000.0</t>
  </si>
  <si>
    <t>Perfluorodecalin (cis)</t>
  </si>
  <si>
    <t>Z-C_{10} F_{18}</t>
  </si>
  <si>
    <t>0.56</t>
  </si>
  <si>
    <t>Perfluorodecalin (trans)</t>
  </si>
  <si>
    <t>E-C_{10} F_{18}</t>
  </si>
  <si>
    <t>0.48</t>
  </si>
  <si>
    <t>PFC-1114</t>
  </si>
  <si>
    <t>CF_{2} =CF_{2}</t>
  </si>
  <si>
    <t>1.1 days</t>
  </si>
  <si>
    <t>0.002</t>
  </si>
  <si>
    <t>PFC-1216</t>
  </si>
  <si>
    <t>CF_{3} CF=CF_{2}</t>
  </si>
  <si>
    <t>Perfluorobuta-1,3-diene</t>
  </si>
  <si>
    <t>CF_{2} =CFCF=CF_{2}</t>
  </si>
  <si>
    <t>0.003</t>
  </si>
  <si>
    <t>Perfluorobut-1-ene</t>
  </si>
  <si>
    <t>CF_{3} CF_{2} CF=CF_{2}</t>
  </si>
  <si>
    <t>6.0 days</t>
  </si>
  <si>
    <t>Perfluorobut-2-ene</t>
  </si>
  <si>
    <t>CF_{3} CF=CFCF_{3}</t>
  </si>
  <si>
    <t>Halogenated Alcohols and Ethers</t>
  </si>
  <si>
    <t>HFE-125</t>
  </si>
  <si>
    <t>CHF_{2} OCF_{3}</t>
  </si>
  <si>
    <t>119.0</t>
  </si>
  <si>
    <t>HFE-134 (HG-00)</t>
  </si>
  <si>
    <t>CHF_{2} OCHF_{2}</t>
  </si>
  <si>
    <t>24.4</t>
  </si>
  <si>
    <t>HFE-143a</t>
  </si>
  <si>
    <t>CH_{3} OCF_{3}</t>
  </si>
  <si>
    <t>4.8</t>
  </si>
  <si>
    <t>HFE-227ea</t>
  </si>
  <si>
    <t>CF_{3} CHFOCF_{3}</t>
  </si>
  <si>
    <t>51.6</t>
  </si>
  <si>
    <t>HCFE-235ca2 (enflurane)</t>
  </si>
  <si>
    <t>CHF_{2} OCF_{2} CHFCl</t>
  </si>
  <si>
    <t>CHF_{2} OCHClCF_{3}</t>
  </si>
  <si>
    <t>0.42</t>
  </si>
  <si>
    <t>HFE-236ca</t>
  </si>
  <si>
    <t>CHF_{2} OCF_{2} CHF_{2}</t>
  </si>
  <si>
    <t>20.8</t>
  </si>
  <si>
    <t>0.56^{g}</t>
  </si>
  <si>
    <t>CHF_{2} OCHFCF_{3}</t>
  </si>
  <si>
    <t>10.8</t>
  </si>
  <si>
    <t>0.45</t>
  </si>
  <si>
    <t>HFE-236fa</t>
  </si>
  <si>
    <t>CF_{3} CH_{2} OCF_{3}</t>
  </si>
  <si>
    <t>7.5</t>
  </si>
  <si>
    <t>HFE-245cb2</t>
  </si>
  <si>
    <t>CF_{3} CF_{2} OCH_{3}</t>
  </si>
  <si>
    <t>4.9</t>
  </si>
  <si>
    <t>0.33</t>
  </si>
  <si>
    <t>HFE-245fa1</t>
  </si>
  <si>
    <t>CHF_{2} CH_{2} OCF_{3}</t>
  </si>
  <si>
    <t>6.6</t>
  </si>
  <si>
    <t>HFE-245fa2</t>
  </si>
  <si>
    <t>CHF_{2} OCH_{2} CF_{3}</t>
  </si>
  <si>
    <t>5.5</t>
  </si>
  <si>
    <t>2,2,3,3,3-Pentafluoropropan-1-ol</t>
  </si>
  <si>
    <t>CF_{3} CF_{2} CH_{2} OH</t>
  </si>
  <si>
    <t>HFE-254cb1</t>
  </si>
  <si>
    <t>CH_{3} OCF_{2} CHF_{2}</t>
  </si>
  <si>
    <t>2.5</t>
  </si>
  <si>
    <t>HFE-263fb2</t>
  </si>
  <si>
    <t>CF_{3} CH_{2} OCH_{3}</t>
  </si>
  <si>
    <t>23.0 days</t>
  </si>
  <si>
    <t>HFE-263m1</t>
  </si>
  <si>
    <t>CF_{3} OCH_{2} CH_{3}</t>
  </si>
  <si>
    <t>3,3,3-Trifluoropropan-1-ol</t>
  </si>
  <si>
    <t>CF_{3} CH_{2} CH_{2} OH</t>
  </si>
  <si>
    <t>12.0 days</t>
  </si>
  <si>
    <t>HFE-329mcc2</t>
  </si>
  <si>
    <t>CHF_{2} CF_{2} OCF_{2} CF_{3}</t>
  </si>
  <si>
    <t>22.5</t>
  </si>
  <si>
    <t>0.53</t>
  </si>
  <si>
    <t>HFE-338mmz1</t>
  </si>
  <si>
    <t>(CF_{3} )_{2} CHOCHF_{2}</t>
  </si>
  <si>
    <t>21.2</t>
  </si>
  <si>
    <t>HFE-338mcf2</t>
  </si>
  <si>
    <t>CF_{3} CH_{2} OCF_{2} CF_{3}</t>
  </si>
  <si>
    <t>(CF_{3} )_{2} CHOCH_{2} F</t>
  </si>
  <si>
    <t>2.2</t>
  </si>
  <si>
    <t>HFE-347mcc3 (HFE-7000)</t>
  </si>
  <si>
    <t>CH_{3} OCF_{2} CF_{2} CF_{3}</t>
  </si>
  <si>
    <t>0.35</t>
  </si>
  <si>
    <t>HFE-347mcf2</t>
  </si>
  <si>
    <t>CHF_{2} CH_{2} OCF_{2} CF_{3}</t>
  </si>
  <si>
    <t>HFE-347pcf2</t>
  </si>
  <si>
    <t>CHF_{2} CF_{2} OCH_{2} CF_{3}</t>
  </si>
  <si>
    <t>6.0</t>
  </si>
  <si>
    <t>0.48^{h}</t>
  </si>
  <si>
    <t>HFE-347mmy1</t>
  </si>
  <si>
    <t>(CF_{3} )_{2} CFOCH_{3}</t>
  </si>
  <si>
    <t>3.7</t>
  </si>
  <si>
    <t>HFE-356mec3</t>
  </si>
  <si>
    <t>CH_{3} OCF_{2} CHFCF_{3}</t>
  </si>
  <si>
    <t>3.8</t>
  </si>
  <si>
    <t>HFE-356mff2</t>
  </si>
  <si>
    <t>CF_{3} CH_{2} OCH_{2} CF_{3}</t>
  </si>
  <si>
    <t>105.0
days</t>
  </si>
  <si>
    <t>HFE-356pcf2</t>
  </si>
  <si>
    <t>CHF_{2} CH_{2} OCF_{2} CHF_{2}</t>
  </si>
  <si>
    <t>5.7</t>
  </si>
  <si>
    <t>0.37</t>
  </si>
  <si>
    <t>HFE-356pcf3</t>
  </si>
  <si>
    <t>CHF_{2} OCH_{2} CF_{2} CHF_{2}</t>
  </si>
  <si>
    <t>0.38</t>
  </si>
  <si>
    <t>HFE-356pcc3</t>
  </si>
  <si>
    <t>CH_{3} OCF_{2} CF_{2} CHF_{2}</t>
  </si>
  <si>
    <t>HFE-356mmz1</t>
  </si>
  <si>
    <t>(CF_{3} )_{2} CHOCH_{3}</t>
  </si>
  <si>
    <t>97.1 days</t>
  </si>
  <si>
    <t>HFE-365mcf3</t>
  </si>
  <si>
    <t>CF_{3} CF_{2} CH_{2} OCH_{3}</t>
  </si>
  <si>
    <t>19.3 days</t>
  </si>
  <si>
    <t>0.05</t>
  </si>
  <si>
    <t>HFE-365mcf2</t>
  </si>
  <si>
    <t>CF_{3} CF_{2} OCH_{2} CH_{3}</t>
  </si>
  <si>
    <t>0.6</t>
  </si>
  <si>
    <t>0.26^{i}</t>
  </si>
  <si>
    <t>HFE-374pc2</t>
  </si>
  <si>
    <t>CHF_{2} CF_{2} OCH_{2} CH_{3}</t>
  </si>
  <si>
    <t>4,4,4-Trifluorobutan-1-ol</t>
  </si>
  <si>
    <t>CF_{3} (CH_{2} )_{2} CH_{2} OH</t>
  </si>
  <si>
    <t>2,2,3,3,4,4,5,5-Octafluorocyclopentanol</t>
  </si>
  <si>
    <t>-(CF_{2} )_{4} CH(OH)-</t>
  </si>
  <si>
    <t>HFE-43-10pccc124 (H-Galden 1040x, HG-11)</t>
  </si>
  <si>
    <t>CHF_{2} OCF_{2} OC_{2} F_{4} OCHF_{2}</t>
  </si>
  <si>
    <t>13.5</t>
  </si>
  <si>
    <t>1.02</t>
  </si>
  <si>
    <t>HFE-449s1 (HFE-7100)</t>
  </si>
  <si>
    <t>C_{4} F_{9} OCH_{3}</t>
  </si>
  <si>
    <t>4.7</t>
  </si>
  <si>
    <t>n-HFE-7100</t>
  </si>
  <si>
    <t>n-C_{4} F_{9} OCH_{3}</t>
  </si>
  <si>
    <t>i-HFE-7100</t>
  </si>
  <si>
    <t>i-C_{4} F_{9} OCH_{3}</t>
  </si>
  <si>
    <t>HFE-569sf2 (HFE-7200)</t>
  </si>
  <si>
    <t>C_{4} F_{9} OC_{2} H_{5}</t>
  </si>
  <si>
    <t>n-HFE-7200</t>
  </si>
  <si>
    <t>n-C_{4} F_{9} OC_{2} H_{5}</t>
  </si>
  <si>
    <t>0.35^{i}</t>
  </si>
  <si>
    <t>i-HFE-7200</t>
  </si>
  <si>
    <t>i-C_{4} F_{9} OC_{2} H_{5}</t>
  </si>
  <si>
    <t>HFE-236ca12 (HG-10)</t>
  </si>
  <si>
    <t>CHF_{2} OCF_{2} OCHF_{2}</t>
  </si>
  <si>
    <t>25.0</t>
  </si>
  <si>
    <t>0.65</t>
  </si>
  <si>
    <t>HFE-338pcc13 (HG-01)</t>
  </si>
  <si>
    <t>CHF_{2} OCF_{2} CF_{2} OCHF_{2}</t>
  </si>
  <si>
    <t>12.9</t>
  </si>
  <si>
    <t>0.86</t>
  </si>
  <si>
    <t>1,1,1,3,3,3-Hexafluoropropan-2-ol</t>
  </si>
  <si>
    <t>(CF_{3} )_{2} CHOH</t>
  </si>
  <si>
    <t>HG-02</t>
  </si>
  <si>
    <t>HF_{2} C–(OCF_{2} CF_{2} )_{2} –
OCF_{2} H</t>
  </si>
  <si>
    <t>1.24^{i}</t>
  </si>
  <si>
    <t>HG-03</t>
  </si>
  <si>
    <t>HF_{2} C–(OCF_{2} CF_{2} )_{3} –
OCF_{2} H</t>
  </si>
  <si>
    <t>1.76^{i}</t>
  </si>
  <si>
    <t>HG-20</t>
  </si>
  <si>
    <t>HF_{2} C–(OCF_{2} )_{2} –OCF_{2} H</t>
  </si>
  <si>
    <t>0.92^{i}</t>
  </si>
  <si>
    <t>HG-21</t>
  </si>
  <si>
    <t>HF_{2} C–OCF_{2} CF_{2} OC-F_{2} OCF_{2} O–CF_{2} H</t>
  </si>
  <si>
    <t>1.71^{i}</t>
  </si>
  <si>
    <t>HG-30</t>
  </si>
  <si>
    <t>HF_{2} C–(OCF_{2} )_{3} –OCF_{2} H</t>
  </si>
  <si>
    <t>1.65^{i}</t>
  </si>
  <si>
    <t>1-Ethoxy-1,1,2,2,3,3,3-heptafluoropropane</t>
  </si>
  <si>
    <t>CF_{3} CF_{2} CF_{2} OCH_{2} CH_{3}</t>
  </si>
  <si>
    <t>0.28^{i}</t>
  </si>
  <si>
    <t>Fluoroxene</t>
  </si>
  <si>
    <t>CF_{3} CH_{2} OCH=CH_{2}</t>
  </si>
  <si>
    <t>3.6 days</t>
  </si>
  <si>
    <t>0.01^{i}</t>
  </si>
  <si>
    <t>1,1,2,2-Tetrafluoro-1-(fluoromethoxy)ethane</t>
  </si>
  <si>
    <t>CH_{2} FOCF_{2} CF_{2} H</t>
  </si>
  <si>
    <t>6.2</t>
  </si>
  <si>
    <t>0.34^{i}</t>
  </si>
  <si>
    <t>2-Ethoxy-3,3,4,4,5-pentafluorotetrahydro-2,5-bis[1,2,2,2-tetrafluoro-1-(trifluoromethyl)ethyl]-furan</t>
  </si>
  <si>
    <t>C_{12} H_{5} F_{19} O_{2}</t>
  </si>
  <si>
    <t>0.49^{j}</t>
  </si>
  <si>
    <t>Fluoro(methoxy)methane</t>
  </si>
  <si>
    <t>CH_{3} OCH_{2} F</t>
  </si>
  <si>
    <t>73.0 days</t>
  </si>
  <si>
    <t>0.07^{g}</t>
  </si>
  <si>
    <t>Difluoro(methoxy)methane</t>
  </si>
  <si>
    <t>CH_{3} OCHF_{2}</t>
  </si>
  <si>
    <t>1.1</t>
  </si>
  <si>
    <t>0.17^{g}</t>
  </si>
  <si>
    <t>Fluoro(fluoromethoxy)methane</t>
  </si>
  <si>
    <t>CH_{2} FOCH_{2} F</t>
  </si>
  <si>
    <t>0.9</t>
  </si>
  <si>
    <t>0.19^{g}</t>
  </si>
  <si>
    <t>Difluoro(fluoromethoxy)methane</t>
  </si>
  <si>
    <t>CH_{2} FOCHF_{2}</t>
  </si>
  <si>
    <t>3.3</t>
  </si>
  <si>
    <t>0.30^{g}</t>
  </si>
  <si>
    <t>Trifluoro(fluoromethoxy)methane</t>
  </si>
  <si>
    <t>CH_{2} FOCF_{3}</t>
  </si>
  <si>
    <t>4.4</t>
  </si>
  <si>
    <t>0.33^{g}</t>
  </si>
  <si>
    <t>HG’-01</t>
  </si>
  <si>
    <t>CH_{3} OCF_{2} CF_{2} OCH_{3}</t>
  </si>
  <si>
    <t>2.0</t>
  </si>
  <si>
    <t>HG’-02</t>
  </si>
  <si>
    <t>CH_{3} O(CF_{2} CF_{2} O)_{2} CH_{3}</t>
  </si>
  <si>
    <t>HG’-03</t>
  </si>
  <si>
    <t>CH_{3} O(CF_{2} CF_{2} O)_{3} CH_{3}</t>
  </si>
  <si>
    <t>0.76</t>
  </si>
  <si>
    <t>HFE-329me3</t>
  </si>
  <si>
    <t>CF_{3} CFHCF_{2} OCF_{3}</t>
  </si>
  <si>
    <t>40.0</t>
  </si>
  <si>
    <t>3,3,4,4,5,5,6,6,7,7,7-Undecafluoroheptan-1-ol</t>
  </si>
  <si>
    <t>CF_{3} (CF_{2} )_{4} CH_{2} CH_{2} OH</t>
  </si>
  <si>
    <t>20.0 days</t>
  </si>
  <si>
    <t>0.06</t>
  </si>
  <si>
    <t>3,3,4,4,5,5,6,6,7,7,8,8,9,9,9-Pentadecafluorononan-1-ol</t>
  </si>
  <si>
    <t>CF_{3} (CF_{2} )_{6} CH_{2} CH_{2} OH</t>
  </si>
  <si>
    <t>3,3,4,4,5,5,6,6,7,7,8,8,9,9,10,10,11,11,11-Non-adecafluoroundecan-1-ol</t>
  </si>
  <si>
    <t>CF_{3} (CF_{2} )_{8} CH_{2} CH_{2} OH</t>
  </si>
  <si>
    <t>2-Chloro-1,1,2-trifluoro-1-methoxyethane</t>
  </si>
  <si>
    <t>CH_{3} OCF_{2} CHFCl</t>
  </si>
  <si>
    <t>1.4</t>
  </si>
  <si>
    <t>0.21</t>
  </si>
  <si>
    <t>PFPMIE (perfluoropolymethylisopropyl ether)</t>
  </si>
  <si>
    <t>CF_{3} OCF(CF_{3} )
CF_{2} OCF_{2} OCF_{3}</t>
  </si>
  <si>
    <t>HFE-216</t>
  </si>
  <si>
    <t>CF_{3} OCF=CF_{2}</t>
  </si>
  <si>
    <t>8.4 days</t>
  </si>
  <si>
    <t>Trifluoromethyl formate</t>
  </si>
  <si>
    <t>HCOOCF_{3}</t>
  </si>
  <si>
    <t>0.31^{i}</t>
  </si>
  <si>
    <t>Perfluoroethyl formate</t>
  </si>
  <si>
    <t>HCOOCF_{2} CF_{3}</t>
  </si>
  <si>
    <t>0.44^{i}</t>
  </si>
  <si>
    <t>Perfluoropropyl formate</t>
  </si>
  <si>
    <t>HCOOCF_{2} CF_{2} CF_{3}</t>
  </si>
  <si>
    <t>0.50^{i}</t>
  </si>
  <si>
    <t>Perfluorobutyl formate</t>
  </si>
  <si>
    <t>HCOOCF_{2} CF_{2} CF_{2} CF_{3}</t>
  </si>
  <si>
    <t>3.0</t>
  </si>
  <si>
    <t>0.56^{i}</t>
  </si>
  <si>
    <t>2,2,2-Trifluoroethyl formate</t>
  </si>
  <si>
    <t>HCOOCH_{2} CF_{3}</t>
  </si>
  <si>
    <t>0.16^{i}</t>
  </si>
  <si>
    <t>3,3,3-Trifluoropropyl formate</t>
  </si>
  <si>
    <t>HCOOCH_{2} CH_{2} CF_{3}</t>
  </si>
  <si>
    <t>0.13^{i}</t>
  </si>
  <si>
    <t>1,2,2,2-Tetrafluoroethyl formate</t>
  </si>
  <si>
    <t>HCOOCHFCF_{3}</t>
  </si>
  <si>
    <t>1,1,1,3,3,3-Hexafluoropropan-2-yl formate</t>
  </si>
  <si>
    <t>HCOOCH(CF_{3} )_{2}</t>
  </si>
  <si>
    <t>0.33^{i}</t>
  </si>
  <si>
    <t>Perfluorobutyl acetate</t>
  </si>
  <si>
    <t>CH_{3} COOCF_{2} CF_{2} CF_{2} CF_{3}</t>
  </si>
  <si>
    <t>21.9 days</t>
  </si>
  <si>
    <t>0.12^{i}</t>
  </si>
  <si>
    <t>Perfluoropropyl acetate</t>
  </si>
  <si>
    <t>CH_{3} COOCF_{2} CF_{2} CF_{3}</t>
  </si>
  <si>
    <t>0.11^{i}</t>
  </si>
  <si>
    <t>Perfluoroethyl acetate</t>
  </si>
  <si>
    <t>CH_{3} COOCF_{2} CF_{3}</t>
  </si>
  <si>
    <t>0.10^{i}</t>
  </si>
  <si>
    <t>Trifluoromethyl acetate</t>
  </si>
  <si>
    <t>CH_{3} COOCF_{3}</t>
  </si>
  <si>
    <t>0.07^{i}</t>
  </si>
  <si>
    <t>Methyl carbonofluoridate</t>
  </si>
  <si>
    <t>FCOOCH_{3}</t>
  </si>
  <si>
    <t>1.8</t>
  </si>
  <si>
    <t>1,1-Difluoroethyl carbonofluoridate</t>
  </si>
  <si>
    <t>FCOOCF_{2} CH_{3}</t>
  </si>
  <si>
    <t>0.17^{i}</t>
  </si>
  <si>
    <t>1,1-Difluoroethyl 2,2,2-trifluoroacetate</t>
  </si>
  <si>
    <t>CF_{3} COOCF_{2} CH_{3}</t>
  </si>
  <si>
    <t>0.27^{i}</t>
  </si>
  <si>
    <t>Ethyl 2,2,2-trifluoroacetate</t>
  </si>
  <si>
    <t>CF_{3} COOCH_{2} CH_{3}</t>
  </si>
  <si>
    <t>0.05^{i}</t>
  </si>
  <si>
    <t>2,2,2-Trifluoroethyl 2,2,2-trifluoroacetate</t>
  </si>
  <si>
    <t>CF_{3} COOCH_{2} CF_{3}</t>
  </si>
  <si>
    <t>54.8 days</t>
  </si>
  <si>
    <t>0.15^{i}</t>
  </si>
  <si>
    <t>Methyl 2,2,2-trifluoroacetate</t>
  </si>
  <si>
    <t>CF_{3} COOCH_{3}</t>
  </si>
  <si>
    <t>0.18^{i}</t>
  </si>
  <si>
    <t>Methyl 2,2-difluoroacetate</t>
  </si>
  <si>
    <t>HCF_{2} COOCH_{3}</t>
  </si>
  <si>
    <t>40.1 days</t>
  </si>
  <si>
    <t>Difluoromethyl 2,2,2-trifluoroacetate</t>
  </si>
  <si>
    <t>CF_{3} COOCHF_{2}</t>
  </si>
  <si>
    <t>0.24^{i}</t>
  </si>
  <si>
    <t>2,2,3,3,4,4,4-Heptafluorobutan-1-ol</t>
  </si>
  <si>
    <t>C_{3} F_{7} CH_{2} OH</t>
  </si>
  <si>
    <t>1,1,2-Trifluoro-2-(trifluoromethoxy)-ethane</t>
  </si>
  <si>
    <t>CHF_{2} CHFOCF_{3}</t>
  </si>
  <si>
    <t>9.8</t>
  </si>
  <si>
    <t>1-Ethoxy-1,1,2,3,3,3-hexafluoropropane</t>
  </si>
  <si>
    <t>CF_{3} CHFCF_{2} OCH_{2} CH_{3}</t>
  </si>
  <si>
    <t>1,1,1,2,2,3,3-Heptafluoro-3-(1,2,2,2-tetrafluoroethoxy)-propane</t>
  </si>
  <si>
    <t>CF_{3} CF_{2} CF_{2} OCHFCF_{3}</t>
  </si>
  <si>
    <t>67.0</t>
  </si>
  <si>
    <t>0.58</t>
  </si>
  <si>
    <t>2,2,3,3-Tetrafluoro-1-propanol</t>
  </si>
  <si>
    <t>CHF_{2} CF_{2} CH_{2} OH</t>
  </si>
  <si>
    <t>91.3 days</t>
  </si>
  <si>
    <t>2,2,3,4,4,4-Hexafluoro-1-butanol</t>
  </si>
  <si>
    <t>CF_{3} CHFCF_{2} CH_{2} OH</t>
  </si>
  <si>
    <t>94.9 days</t>
  </si>
  <si>
    <t>2,2,3,3,4,4,4-Heptafluoro-1-butanol</t>
  </si>
  <si>
    <t>CF_{3} CF_{2} CF_{2} CH_{2} OH</t>
  </si>
  <si>
    <t>1,1,2,2-Tetrafluoro-3-methoxy-propane</t>
  </si>
  <si>
    <t>CHF_{2} CF_{2} CH_{2} OCH_{3}</t>
  </si>
  <si>
    <t>14.2 days</t>
  </si>
  <si>
    <t>perfluoro-2-methyl-3-pentanone</t>
  </si>
  <si>
    <t>CF_{3} CF_{2} C(O)CF(CF_{3} )_{2}</t>
  </si>
  <si>
    <t>3,3,3-Trifluoro-propanal</t>
  </si>
  <si>
    <t>CF_{3} CH_{2} CHO</t>
  </si>
  <si>
    <t>2.0 days</t>
  </si>
  <si>
    <t>2-Fluoroethanol</t>
  </si>
  <si>
    <t>CH_{2} FCH_{2} OH</t>
  </si>
  <si>
    <t>20.4 days</t>
  </si>
  <si>
    <t>2,2-Difluoroethanol</t>
  </si>
  <si>
    <t>CHF_{2} CH_{2} OH</t>
  </si>
  <si>
    <t>40.0 days</t>
  </si>
  <si>
    <t>2,2,2-Trifluoroethanol</t>
  </si>
  <si>
    <t>CF_{3} CH_{2} OH</t>
  </si>
  <si>
    <t>1,1’-Oxybis[2-(difluoromethoxy)-1,1,2,2-tetrafluoroethane</t>
  </si>
  <si>
    <t>HCF_{2} O(CF_{2} CF_{2} O)_{2} CF_{2} H</t>
  </si>
  <si>
    <t>1.15^{k}</t>
  </si>
  <si>
    <t>1,1,3,3,4,4,6,6,7,7,9,9,10,10,12,12-hexa-decafluoro-2,5,8,11-Tetraoxadodecane</t>
  </si>
  <si>
    <t>HCF_{2} O(CF_{2} CF_{2} O)_{3} CF_{2} H</t>
  </si>
  <si>
    <t>1.43^{k}</t>
  </si>
  <si>
    <t>1,1,3,3,4,4,6,6,7,7,9,9,10,10,12,12,13,13,15,15-eico-safluoro-2,5,8,11,14-Pentaoxapentadecane</t>
  </si>
  <si>
    <t>HCF_{2} O(CF_{2} CF_{2} O)_{4} CF_{2} H</t>
  </si>
  <si>
    <t>1.46^{k}</t>
  </si>
  <si>
    <t>CUADRO 7.8
MEZCLAS (MUCHAS CONTIENEN HFC Y/O PFC)</t>
  </si>
  <si>
    <t>Mezcla</t>
  </si>
  <si>
    <t>Componente 1</t>
  </si>
  <si>
    <t>% Componente 1</t>
  </si>
  <si>
    <t>GWP100 Componente 1</t>
  </si>
  <si>
    <t>Componente 2</t>
  </si>
  <si>
    <t>% Componente 2</t>
  </si>
  <si>
    <t>GWP100 Componente 2</t>
  </si>
  <si>
    <t>Componente 3</t>
  </si>
  <si>
    <t>% Componente 3</t>
  </si>
  <si>
    <t>GWP100 Componente 3</t>
  </si>
  <si>
    <t>Componente 4</t>
  </si>
  <si>
    <t>% Componente 4</t>
  </si>
  <si>
    <t>GWP100 Componente 4</t>
  </si>
  <si>
    <t>GWP total</t>
  </si>
  <si>
    <t>R400</t>
  </si>
  <si>
    <t>R-400 puede tener varias proporciones de CFC-12 y CFC-114. Es necesario especificar la composición exacta, p. ej., R-400 (60/40).</t>
  </si>
  <si>
    <t>R-400 puede tener varias proporciones de CFC-12 y CFC-14. Es necesario especificar la composición exacta, p. ej., R-400 (60/40).</t>
  </si>
  <si>
    <t>R401A</t>
  </si>
  <si>
    <t>R401B</t>
  </si>
  <si>
    <t>R401C</t>
  </si>
  <si>
    <t>R402A</t>
  </si>
  <si>
    <t>HC-290</t>
  </si>
  <si>
    <t>R402B</t>
  </si>
  <si>
    <t>R403A</t>
  </si>
  <si>
    <t>R403B</t>
  </si>
  <si>
    <t>R405A</t>
  </si>
  <si>
    <t>R406A</t>
  </si>
  <si>
    <t>HC-600a</t>
  </si>
  <si>
    <t>R407D</t>
  </si>
  <si>
    <t>R407E</t>
  </si>
  <si>
    <t>R408A</t>
  </si>
  <si>
    <t>R409A</t>
  </si>
  <si>
    <t>R409B</t>
  </si>
  <si>
    <t>R411A</t>
  </si>
  <si>
    <t>HC-1270</t>
  </si>
  <si>
    <t>R411B</t>
  </si>
  <si>
    <t>R411C</t>
  </si>
  <si>
    <t>R412A</t>
  </si>
  <si>
    <t>R413A</t>
  </si>
  <si>
    <t>R414A</t>
  </si>
  <si>
    <t>R414B</t>
  </si>
  <si>
    <t>R415A</t>
  </si>
  <si>
    <t>R415B</t>
  </si>
  <si>
    <t>R416A</t>
  </si>
  <si>
    <t>HC-600</t>
  </si>
  <si>
    <t>R417A</t>
  </si>
  <si>
    <t>R418A</t>
  </si>
  <si>
    <t>R419A</t>
  </si>
  <si>
    <t>HE-E170</t>
  </si>
  <si>
    <t>R420A</t>
  </si>
  <si>
    <t>R421A</t>
  </si>
  <si>
    <t>R421B</t>
  </si>
  <si>
    <t>R422A</t>
  </si>
  <si>
    <t>R422B</t>
  </si>
  <si>
    <t>R422C</t>
  </si>
  <si>
    <t>R500</t>
  </si>
  <si>
    <t>R501</t>
  </si>
  <si>
    <t>R502</t>
  </si>
  <si>
    <t>R503</t>
  </si>
  <si>
    <t>R504</t>
  </si>
  <si>
    <t>R505</t>
  </si>
  <si>
    <t>HCFC-31</t>
  </si>
  <si>
    <t>R506</t>
  </si>
  <si>
    <t>CFC-31</t>
  </si>
  <si>
    <t>R509A</t>
  </si>
  <si>
    <t>Conversión</t>
  </si>
  <si>
    <t>1 GWh</t>
  </si>
  <si>
    <t>1 kWh</t>
  </si>
  <si>
    <t>CO2e</t>
  </si>
  <si>
    <t>Energía Abierta (http://energiaabierta.cl/visualizaciones/factor-de-emision-sic-sing/)</t>
  </si>
  <si>
    <t>Energía Abierta (http://energiaabierta.cl/categorias-estadistica/sustentabilidad/)</t>
  </si>
  <si>
    <t>PENDIENTE</t>
  </si>
  <si>
    <t>Pérdidas por T&amp;D %</t>
  </si>
  <si>
    <t>Fuente: Base de Información de Eficiencia Energética - CEPAL- Enerdata, 2018 (https://biee-cepal.enerdata.net/es/datamapper/rate-of-electricity-t&amp;d-losses.html)</t>
  </si>
  <si>
    <t>Base de Información de Eficiencia Energética - CEPAL- Enerdata, 2018 (https://biee-cepal.enerdata.net/es/datamapper/rate-of-electricity-t&amp;d-losses.html)</t>
  </si>
  <si>
    <t>Emisiones directas por energía importada -  Adquisición de otras energías a terceros</t>
  </si>
  <si>
    <t>Tipo de energía: Vapor/Calefacción/Refrigeración/Aire comprimido</t>
  </si>
  <si>
    <t>IPCC 2006 (vol2; chapter 2) , Table 2.2</t>
  </si>
  <si>
    <r>
      <rPr>
        <b/>
        <sz val="9"/>
        <rFont val="Times New Roman"/>
        <family val="1"/>
      </rPr>
      <t>C</t>
    </r>
    <r>
      <rPr>
        <b/>
        <sz val="7"/>
        <rFont val="Times New Roman"/>
        <family val="1"/>
      </rPr>
      <t xml:space="preserve">UADRO </t>
    </r>
    <r>
      <rPr>
        <b/>
        <sz val="9"/>
        <rFont val="Times New Roman"/>
        <family val="1"/>
      </rPr>
      <t>2.2 
F</t>
    </r>
    <r>
      <rPr>
        <b/>
        <sz val="7"/>
        <rFont val="Times New Roman"/>
        <family val="1"/>
      </rPr>
      <t xml:space="preserve">ACTORES DE EMISIÓN POR DEFECTO PARA LA COMBUSTIÓN ESTACIONARIA EN LAS </t>
    </r>
    <r>
      <rPr>
        <b/>
        <u/>
        <sz val="7"/>
        <rFont val="Times New Roman"/>
        <family val="1"/>
      </rPr>
      <t>INDUSTRIAS ENERGÉTICAS</t>
    </r>
    <r>
      <rPr>
        <b/>
        <sz val="7"/>
        <rFont val="Times New Roman"/>
        <family val="1"/>
      </rPr>
      <t xml:space="preserve"> </t>
    </r>
    <r>
      <rPr>
        <b/>
        <sz val="9"/>
        <rFont val="Times New Roman"/>
        <family val="1"/>
      </rPr>
      <t>(kg de gas
de efecto invernadero por TJ sobre una base calórica neta)</t>
    </r>
  </si>
  <si>
    <r>
      <rPr>
        <sz val="8"/>
        <rFont val="Times New Roman"/>
        <family val="1"/>
      </rPr>
      <t>Alquitrán de hulla</t>
    </r>
  </si>
  <si>
    <r>
      <rPr>
        <b/>
        <sz val="8"/>
        <rFont val="Times New Roman"/>
        <family val="1"/>
      </rPr>
      <t>n</t>
    </r>
    <r>
      <rPr>
        <sz val="8"/>
        <rFont val="Times New Roman"/>
        <family val="1"/>
      </rPr>
      <t>80 700</t>
    </r>
  </si>
  <si>
    <r>
      <rPr>
        <b/>
        <sz val="8"/>
        <rFont val="Times New Roman"/>
        <family val="1"/>
      </rPr>
      <t>n</t>
    </r>
  </si>
  <si>
    <r>
      <rPr>
        <b/>
        <sz val="8"/>
        <rFont val="Times New Roman"/>
        <family val="1"/>
      </rPr>
      <t>r</t>
    </r>
  </si>
  <si>
    <r>
      <rPr>
        <sz val="8"/>
        <rFont val="Times New Roman"/>
        <family val="1"/>
      </rPr>
      <t>Gases derivados</t>
    </r>
  </si>
  <si>
    <r>
      <rPr>
        <sz val="7.5"/>
        <rFont val="Times New Roman"/>
        <family val="1"/>
      </rPr>
      <t>Gas de fábricas de gas</t>
    </r>
  </si>
  <si>
    <r>
      <rPr>
        <b/>
        <sz val="8"/>
        <rFont val="Times New Roman"/>
        <family val="1"/>
      </rPr>
      <t>n</t>
    </r>
    <r>
      <rPr>
        <sz val="8"/>
        <rFont val="Times New Roman"/>
        <family val="1"/>
      </rPr>
      <t>44 400</t>
    </r>
  </si>
  <si>
    <r>
      <rPr>
        <sz val="7.5"/>
        <rFont val="Times New Roman"/>
        <family val="1"/>
      </rPr>
      <t>Gas de horno de coque</t>
    </r>
  </si>
  <si>
    <r>
      <rPr>
        <sz val="7.5"/>
        <rFont val="Times New Roman"/>
        <family val="1"/>
      </rPr>
      <t>Gas de alto horno</t>
    </r>
  </si>
  <si>
    <r>
      <rPr>
        <b/>
        <sz val="8"/>
        <rFont val="Times New Roman"/>
        <family val="1"/>
      </rPr>
      <t>n</t>
    </r>
    <r>
      <rPr>
        <sz val="8"/>
        <rFont val="Times New Roman"/>
        <family val="1"/>
      </rPr>
      <t>260 000</t>
    </r>
  </si>
  <si>
    <r>
      <rPr>
        <sz val="7.5"/>
        <rFont val="Times New Roman"/>
        <family val="1"/>
      </rPr>
      <t>Gas de horno de oxígeno para aceros</t>
    </r>
  </si>
  <si>
    <r>
      <rPr>
        <b/>
        <sz val="8"/>
        <rFont val="Times New Roman"/>
        <family val="1"/>
      </rPr>
      <t>n</t>
    </r>
    <r>
      <rPr>
        <sz val="8"/>
        <rFont val="Times New Roman"/>
        <family val="1"/>
      </rPr>
      <t>182 000</t>
    </r>
  </si>
  <si>
    <r>
      <rPr>
        <sz val="8"/>
        <rFont val="Times New Roman"/>
        <family val="1"/>
      </rPr>
      <t>Gas natural</t>
    </r>
  </si>
  <si>
    <r>
      <rPr>
        <sz val="7"/>
        <rFont val="Times New Roman"/>
        <family val="1"/>
      </rPr>
      <t>Desechos municipales (fracción no perteneciente a la biomasa)</t>
    </r>
  </si>
  <si>
    <r>
      <rPr>
        <b/>
        <sz val="8"/>
        <rFont val="Times New Roman"/>
        <family val="1"/>
      </rPr>
      <t xml:space="preserve">n  </t>
    </r>
    <r>
      <rPr>
        <sz val="8"/>
        <rFont val="Times New Roman"/>
        <family val="1"/>
      </rPr>
      <t>91 700</t>
    </r>
  </si>
  <si>
    <r>
      <rPr>
        <sz val="8"/>
        <rFont val="Times New Roman"/>
        <family val="1"/>
      </rPr>
      <t>Desechos industriales</t>
    </r>
  </si>
  <si>
    <r>
      <rPr>
        <b/>
        <sz val="8"/>
        <rFont val="Times New Roman"/>
        <family val="1"/>
      </rPr>
      <t xml:space="preserve">n  </t>
    </r>
    <r>
      <rPr>
        <sz val="8"/>
        <rFont val="Times New Roman"/>
        <family val="1"/>
      </rPr>
      <t>143 000</t>
    </r>
  </si>
  <si>
    <r>
      <rPr>
        <sz val="8"/>
        <rFont val="Times New Roman"/>
        <family val="1"/>
      </rPr>
      <t>Óleos de desecho</t>
    </r>
  </si>
  <si>
    <r>
      <rPr>
        <b/>
        <sz val="8"/>
        <rFont val="Times New Roman"/>
        <family val="1"/>
      </rPr>
      <t xml:space="preserve">n   </t>
    </r>
    <r>
      <rPr>
        <sz val="8"/>
        <rFont val="Times New Roman"/>
        <family val="1"/>
      </rPr>
      <t>73 300</t>
    </r>
  </si>
  <si>
    <r>
      <rPr>
        <sz val="8"/>
        <rFont val="Times New Roman"/>
        <family val="1"/>
      </rPr>
      <t>Turba</t>
    </r>
  </si>
  <si>
    <r>
      <rPr>
        <sz val="7"/>
        <rFont val="Times New Roman"/>
        <family val="1"/>
      </rPr>
      <t>Biocombustibles sólidos</t>
    </r>
  </si>
  <si>
    <r>
      <rPr>
        <sz val="7"/>
        <rFont val="Times New Roman"/>
        <family val="1"/>
      </rPr>
      <t>Madera / Desechos de madera</t>
    </r>
  </si>
  <si>
    <r>
      <rPr>
        <b/>
        <sz val="8"/>
        <rFont val="Times New Roman"/>
        <family val="1"/>
      </rPr>
      <t>n</t>
    </r>
    <r>
      <rPr>
        <sz val="8"/>
        <rFont val="Times New Roman"/>
        <family val="1"/>
      </rPr>
      <t>112 000</t>
    </r>
  </si>
  <si>
    <r>
      <rPr>
        <sz val="7"/>
        <rFont val="Times New Roman"/>
        <family val="1"/>
      </rPr>
      <t>Lejía de sulfito (licor negro)</t>
    </r>
    <r>
      <rPr>
        <vertAlign val="superscript"/>
        <sz val="7"/>
        <rFont val="Times New Roman"/>
        <family val="1"/>
      </rPr>
      <t>(a)</t>
    </r>
  </si>
  <si>
    <r>
      <rPr>
        <b/>
        <sz val="8"/>
        <rFont val="Times New Roman"/>
        <family val="1"/>
      </rPr>
      <t>n</t>
    </r>
    <r>
      <rPr>
        <sz val="8"/>
        <rFont val="Times New Roman"/>
        <family val="1"/>
      </rPr>
      <t>95 300</t>
    </r>
  </si>
  <si>
    <r>
      <rPr>
        <sz val="7"/>
        <rFont val="Times New Roman"/>
        <family val="1"/>
      </rPr>
      <t>Otra biomasa sólida primaria</t>
    </r>
  </si>
  <si>
    <r>
      <rPr>
        <b/>
        <sz val="8"/>
        <rFont val="Times New Roman"/>
        <family val="1"/>
      </rPr>
      <t>n</t>
    </r>
    <r>
      <rPr>
        <sz val="8"/>
        <rFont val="Times New Roman"/>
        <family val="1"/>
      </rPr>
      <t>100 000</t>
    </r>
  </si>
  <si>
    <r>
      <rPr>
        <sz val="7"/>
        <rFont val="Times New Roman"/>
        <family val="1"/>
      </rPr>
      <t>Carbón vegetal</t>
    </r>
  </si>
  <si>
    <r>
      <rPr>
        <sz val="7"/>
        <rFont val="Times New Roman"/>
        <family val="1"/>
      </rPr>
      <t>Biocombustibles líquidos</t>
    </r>
  </si>
  <si>
    <r>
      <rPr>
        <sz val="7.5"/>
        <rFont val="Times New Roman"/>
        <family val="1"/>
      </rPr>
      <t>Biogasolina</t>
    </r>
  </si>
  <si>
    <r>
      <rPr>
        <b/>
        <sz val="8"/>
        <rFont val="Times New Roman"/>
        <family val="1"/>
      </rPr>
      <t>n</t>
    </r>
    <r>
      <rPr>
        <sz val="8"/>
        <rFont val="Times New Roman"/>
        <family val="1"/>
      </rPr>
      <t>70 800</t>
    </r>
  </si>
  <si>
    <r>
      <rPr>
        <sz val="7.5"/>
        <rFont val="Times New Roman"/>
        <family val="1"/>
      </rPr>
      <t>Biodiésel</t>
    </r>
  </si>
  <si>
    <r>
      <rPr>
        <sz val="7.5"/>
        <rFont val="Times New Roman"/>
        <family val="1"/>
      </rPr>
      <t>Otros biocombus tibles líquidos</t>
    </r>
  </si>
  <si>
    <r>
      <rPr>
        <b/>
        <sz val="8"/>
        <rFont val="Times New Roman"/>
        <family val="1"/>
      </rPr>
      <t>n</t>
    </r>
    <r>
      <rPr>
        <sz val="8"/>
        <rFont val="Times New Roman"/>
        <family val="1"/>
      </rPr>
      <t>79 600</t>
    </r>
  </si>
  <si>
    <r>
      <rPr>
        <sz val="7.5"/>
        <rFont val="Times New Roman"/>
        <family val="1"/>
      </rPr>
      <t>Biomasa gaseosa</t>
    </r>
  </si>
  <si>
    <r>
      <rPr>
        <sz val="7.5"/>
        <rFont val="Times New Roman"/>
        <family val="1"/>
      </rPr>
      <t>Gas de vertedero</t>
    </r>
  </si>
  <si>
    <r>
      <rPr>
        <b/>
        <sz val="8"/>
        <rFont val="Times New Roman"/>
        <family val="1"/>
      </rPr>
      <t>n</t>
    </r>
    <r>
      <rPr>
        <sz val="8"/>
        <rFont val="Times New Roman"/>
        <family val="1"/>
      </rPr>
      <t>54 600</t>
    </r>
  </si>
  <si>
    <r>
      <rPr>
        <sz val="7.5"/>
        <rFont val="Times New Roman"/>
        <family val="1"/>
      </rPr>
      <t>Gas de digestión de lodos cloacales</t>
    </r>
  </si>
  <si>
    <r>
      <rPr>
        <sz val="7.5"/>
        <rFont val="Times New Roman"/>
        <family val="1"/>
      </rPr>
      <t>Otro biogás</t>
    </r>
  </si>
  <si>
    <r>
      <rPr>
        <sz val="6"/>
        <rFont val="Times New Roman"/>
        <family val="1"/>
      </rPr>
      <t>Otros combustibles no fósiles</t>
    </r>
  </si>
  <si>
    <r>
      <rPr>
        <sz val="7"/>
        <rFont val="Times New Roman"/>
        <family val="1"/>
      </rPr>
      <t>Desechos municipales (fracción pertenecien te a la biomasa)</t>
    </r>
  </si>
  <si>
    <r>
      <rPr>
        <sz val="7.5"/>
        <rFont val="Times New Roman"/>
        <family val="1"/>
      </rPr>
      <t>Petróleo crudo</t>
    </r>
  </si>
  <si>
    <r>
      <rPr>
        <b/>
        <sz val="7.5"/>
        <rFont val="Times New Roman"/>
        <family val="1"/>
      </rPr>
      <t>r</t>
    </r>
  </si>
  <si>
    <r>
      <rPr>
        <sz val="7.5"/>
        <rFont val="Times New Roman"/>
        <family val="1"/>
      </rPr>
      <t>Orimulsión</t>
    </r>
  </si>
  <si>
    <r>
      <rPr>
        <b/>
        <sz val="7.5"/>
        <rFont val="Times New Roman"/>
        <family val="1"/>
      </rPr>
      <t>r</t>
    </r>
    <r>
      <rPr>
        <sz val="7.5"/>
        <rFont val="Times New Roman"/>
        <family val="1"/>
      </rPr>
      <t>77 000</t>
    </r>
  </si>
  <si>
    <r>
      <rPr>
        <sz val="7.5"/>
        <rFont val="Times New Roman"/>
        <family val="1"/>
      </rPr>
      <t>Gas natural licuado</t>
    </r>
  </si>
  <si>
    <r>
      <rPr>
        <b/>
        <sz val="7.5"/>
        <rFont val="Times New Roman"/>
        <family val="1"/>
      </rPr>
      <t>r</t>
    </r>
    <r>
      <rPr>
        <sz val="7.5"/>
        <rFont val="Times New Roman"/>
        <family val="1"/>
      </rPr>
      <t>64 200</t>
    </r>
  </si>
  <si>
    <r>
      <rPr>
        <sz val="7"/>
        <rFont val="Times New Roman"/>
        <family val="1"/>
      </rPr>
      <t>Gasolina</t>
    </r>
  </si>
  <si>
    <r>
      <rPr>
        <sz val="7"/>
        <rFont val="Times New Roman"/>
        <family val="1"/>
      </rPr>
      <t>Gasolina para motores</t>
    </r>
  </si>
  <si>
    <r>
      <rPr>
        <sz val="7"/>
        <rFont val="Times New Roman"/>
        <family val="1"/>
      </rPr>
      <t>Gasolina para la aviación</t>
    </r>
  </si>
  <si>
    <r>
      <rPr>
        <b/>
        <sz val="7.5"/>
        <rFont val="Times New Roman"/>
        <family val="1"/>
      </rPr>
      <t>r</t>
    </r>
    <r>
      <rPr>
        <sz val="7.5"/>
        <rFont val="Times New Roman"/>
        <family val="1"/>
      </rPr>
      <t>70 000</t>
    </r>
  </si>
  <si>
    <r>
      <rPr>
        <sz val="7"/>
        <rFont val="Times New Roman"/>
        <family val="1"/>
      </rPr>
      <t>Gasolina para motor a reacción</t>
    </r>
  </si>
  <si>
    <r>
      <rPr>
        <sz val="7.5"/>
        <rFont val="Times New Roman"/>
        <family val="1"/>
      </rPr>
      <t>Queroseno para motor a reacción</t>
    </r>
  </si>
  <si>
    <r>
      <rPr>
        <b/>
        <sz val="7.5"/>
        <rFont val="Times New Roman"/>
        <family val="1"/>
      </rPr>
      <t>r</t>
    </r>
    <r>
      <rPr>
        <sz val="7.5"/>
        <rFont val="Times New Roman"/>
        <family val="1"/>
      </rPr>
      <t>71 500</t>
    </r>
  </si>
  <si>
    <r>
      <rPr>
        <sz val="7.5"/>
        <rFont val="Times New Roman"/>
        <family val="1"/>
      </rPr>
      <t>Otro queroseno</t>
    </r>
  </si>
  <si>
    <r>
      <rPr>
        <sz val="7.5"/>
        <rFont val="Times New Roman"/>
        <family val="1"/>
      </rPr>
      <t>Esquisto bituminoso</t>
    </r>
  </si>
  <si>
    <r>
      <rPr>
        <sz val="7.5"/>
        <rFont val="Times New Roman"/>
        <family val="1"/>
      </rPr>
      <t>Gas/Diesel Oil</t>
    </r>
  </si>
  <si>
    <r>
      <rPr>
        <sz val="7.5"/>
        <rFont val="Times New Roman"/>
        <family val="1"/>
      </rPr>
      <t>Fuelóleo residual</t>
    </r>
  </si>
  <si>
    <r>
      <rPr>
        <sz val="7.5"/>
        <rFont val="Times New Roman"/>
        <family val="1"/>
      </rPr>
      <t>Gases licuados de petróleo</t>
    </r>
  </si>
  <si>
    <r>
      <rPr>
        <sz val="7.5"/>
        <rFont val="Times New Roman"/>
        <family val="1"/>
      </rPr>
      <t>Etano</t>
    </r>
  </si>
  <si>
    <r>
      <rPr>
        <sz val="7.5"/>
        <rFont val="Times New Roman"/>
        <family val="1"/>
      </rPr>
      <t>Nafta</t>
    </r>
  </si>
  <si>
    <r>
      <rPr>
        <sz val="7.5"/>
        <rFont val="Times New Roman"/>
        <family val="1"/>
      </rPr>
      <t>Bitumen</t>
    </r>
  </si>
  <si>
    <r>
      <rPr>
        <sz val="7.5"/>
        <rFont val="Times New Roman"/>
        <family val="1"/>
      </rPr>
      <t>Lubricantes</t>
    </r>
  </si>
  <si>
    <r>
      <rPr>
        <sz val="7.5"/>
        <rFont val="Times New Roman"/>
        <family val="1"/>
      </rPr>
      <t>Coque de petróleo</t>
    </r>
  </si>
  <si>
    <r>
      <rPr>
        <b/>
        <sz val="7.5"/>
        <rFont val="Times New Roman"/>
        <family val="1"/>
      </rPr>
      <t>r</t>
    </r>
    <r>
      <rPr>
        <sz val="7.5"/>
        <rFont val="Times New Roman"/>
        <family val="1"/>
      </rPr>
      <t>97 500</t>
    </r>
  </si>
  <si>
    <r>
      <rPr>
        <sz val="7.5"/>
        <rFont val="Times New Roman"/>
        <family val="1"/>
      </rPr>
      <t>Alimentación a procesos de refinerías</t>
    </r>
  </si>
  <si>
    <r>
      <rPr>
        <sz val="7.5"/>
        <rFont val="Times New Roman"/>
        <family val="1"/>
      </rPr>
      <t>Otro petróleo</t>
    </r>
  </si>
  <si>
    <r>
      <rPr>
        <sz val="7.5"/>
        <rFont val="Times New Roman"/>
        <family val="1"/>
      </rPr>
      <t>Gas de refinería</t>
    </r>
  </si>
  <si>
    <r>
      <rPr>
        <b/>
        <sz val="7.5"/>
        <rFont val="Times New Roman"/>
        <family val="1"/>
      </rPr>
      <t>n</t>
    </r>
    <r>
      <rPr>
        <sz val="7.5"/>
        <rFont val="Times New Roman"/>
        <family val="1"/>
      </rPr>
      <t>57 600</t>
    </r>
  </si>
  <si>
    <r>
      <rPr>
        <sz val="7"/>
        <rFont val="Times New Roman"/>
        <family val="1"/>
      </rPr>
      <t>Ceras de parafina</t>
    </r>
  </si>
  <si>
    <r>
      <rPr>
        <sz val="7"/>
        <rFont val="Times New Roman"/>
        <family val="1"/>
      </rPr>
      <t>Espíritu blanco y SBP</t>
    </r>
  </si>
  <si>
    <r>
      <rPr>
        <sz val="7"/>
        <rFont val="Times New Roman"/>
        <family val="1"/>
      </rPr>
      <t>Otros productos del petróleo</t>
    </r>
  </si>
  <si>
    <r>
      <rPr>
        <sz val="7.5"/>
        <rFont val="Times New Roman"/>
        <family val="1"/>
      </rPr>
      <t>Antracita</t>
    </r>
  </si>
  <si>
    <r>
      <rPr>
        <sz val="7.5"/>
        <rFont val="Times New Roman"/>
        <family val="1"/>
      </rPr>
      <t>Carbón de coque</t>
    </r>
  </si>
  <si>
    <r>
      <rPr>
        <sz val="7.5"/>
        <rFont val="Times New Roman"/>
        <family val="1"/>
      </rPr>
      <t>Otro carbón bituminoso</t>
    </r>
  </si>
  <si>
    <r>
      <rPr>
        <sz val="7.5"/>
        <rFont val="Times New Roman"/>
        <family val="1"/>
      </rPr>
      <t>Carbón sub- bituminoso</t>
    </r>
  </si>
  <si>
    <r>
      <rPr>
        <sz val="7.5"/>
        <rFont val="Times New Roman"/>
        <family val="1"/>
      </rPr>
      <t>Lignito</t>
    </r>
  </si>
  <si>
    <r>
      <rPr>
        <sz val="7.5"/>
        <rFont val="Times New Roman"/>
        <family val="1"/>
      </rPr>
      <t>Esquisto bituminoso y alquitrán</t>
    </r>
  </si>
  <si>
    <r>
      <rPr>
        <sz val="7.5"/>
        <rFont val="Times New Roman"/>
        <family val="1"/>
      </rPr>
      <t>Briquetas de carbón de lignito</t>
    </r>
  </si>
  <si>
    <r>
      <rPr>
        <b/>
        <sz val="7.5"/>
        <rFont val="Times New Roman"/>
        <family val="1"/>
      </rPr>
      <t>n</t>
    </r>
  </si>
  <si>
    <r>
      <rPr>
        <sz val="7.5"/>
        <rFont val="Times New Roman"/>
        <family val="1"/>
      </rPr>
      <t>Combustible evidente</t>
    </r>
  </si>
  <si>
    <r>
      <rPr>
        <sz val="7.5"/>
        <rFont val="Times New Roman"/>
        <family val="1"/>
      </rPr>
      <t>Coque</t>
    </r>
  </si>
  <si>
    <r>
      <rPr>
        <sz val="7"/>
        <rFont val="Times New Roman"/>
        <family val="1"/>
      </rPr>
      <t>Coque para horno de coque y coque de lignito</t>
    </r>
  </si>
  <si>
    <r>
      <rPr>
        <b/>
        <sz val="7.5"/>
        <rFont val="Times New Roman"/>
        <family val="1"/>
      </rPr>
      <t>r</t>
    </r>
    <r>
      <rPr>
        <sz val="7.5"/>
        <rFont val="Times New Roman"/>
        <family val="1"/>
      </rPr>
      <t>107 000</t>
    </r>
  </si>
  <si>
    <r>
      <rPr>
        <sz val="7.5"/>
        <rFont val="Times New Roman"/>
        <family val="1"/>
      </rPr>
      <t>Coque de gas</t>
    </r>
  </si>
  <si>
    <r>
      <rPr>
        <vertAlign val="superscript"/>
        <sz val="7.5"/>
        <rFont val="Times New Roman"/>
        <family val="1"/>
      </rPr>
      <t>(a)</t>
    </r>
    <r>
      <rPr>
        <sz val="7.5"/>
        <rFont val="Times New Roman"/>
        <family val="1"/>
      </rPr>
      <t>Incluye el CO</t>
    </r>
    <r>
      <rPr>
        <vertAlign val="subscript"/>
        <sz val="7.5"/>
        <rFont val="Times New Roman"/>
        <family val="1"/>
      </rPr>
      <t>2</t>
    </r>
    <r>
      <rPr>
        <sz val="7.5"/>
        <rFont val="Times New Roman"/>
        <family val="1"/>
      </rPr>
      <t xml:space="preserve"> derivado de la biomasa emitido desde la unidad de combustión de licor negro y el CO</t>
    </r>
    <r>
      <rPr>
        <vertAlign val="subscript"/>
        <sz val="7.5"/>
        <rFont val="Times New Roman"/>
        <family val="1"/>
      </rPr>
      <t>2</t>
    </r>
    <r>
      <rPr>
        <sz val="7.5"/>
        <rFont val="Times New Roman"/>
        <family val="1"/>
      </rPr>
      <t xml:space="preserve"> derivado de la biomasa emitido desde el horno de cal de la planta de kraft.
</t>
    </r>
    <r>
      <rPr>
        <b/>
        <sz val="7.5"/>
        <rFont val="Times New Roman"/>
        <family val="1"/>
      </rPr>
      <t xml:space="preserve">n  </t>
    </r>
    <r>
      <rPr>
        <sz val="7.5"/>
        <rFont val="Times New Roman"/>
        <family val="1"/>
      </rPr>
      <t xml:space="preserve">Indica un factor de emisión nuevo que no estaba presente en las </t>
    </r>
    <r>
      <rPr>
        <i/>
        <sz val="7.5"/>
        <rFont val="Times New Roman"/>
        <family val="1"/>
      </rPr>
      <t>Directrices del IPCC de 1996</t>
    </r>
    <r>
      <rPr>
        <sz val="7.5"/>
        <rFont val="Times New Roman"/>
        <family val="1"/>
      </rPr>
      <t xml:space="preserve">.
</t>
    </r>
    <r>
      <rPr>
        <b/>
        <sz val="7.5"/>
        <rFont val="Times New Roman"/>
        <family val="1"/>
      </rPr>
      <t xml:space="preserve">r  </t>
    </r>
    <r>
      <rPr>
        <sz val="7.5"/>
        <rFont val="Times New Roman"/>
        <family val="1"/>
      </rPr>
      <t xml:space="preserve">Indica un factor de emisión que se revisó a partir de las </t>
    </r>
    <r>
      <rPr>
        <i/>
        <sz val="7.5"/>
        <rFont val="Times New Roman"/>
        <family val="1"/>
      </rPr>
      <t>Directrices del IPCC de 1996.</t>
    </r>
  </si>
  <si>
    <t>Nombre en DEFRA UK</t>
  </si>
  <si>
    <t>Nombre en otras fuentes</t>
  </si>
  <si>
    <t>Valor factor de emisión (fuente 1)</t>
  </si>
  <si>
    <t>Valor factor de emisión (fuente 2)</t>
  </si>
  <si>
    <t>Unidades</t>
  </si>
  <si>
    <t>Plastic - Plastics: average plastics - Primary material production</t>
  </si>
  <si>
    <t>DEFRA 2024, Material use</t>
  </si>
  <si>
    <t>Metal - Metal: steel cans - Primary material production</t>
  </si>
  <si>
    <t>Metal - Metal: steel cans - Closed-loop source</t>
  </si>
  <si>
    <t>Metal - Metal: aluminium cans and foil (excl. forming) - Primary material production</t>
  </si>
  <si>
    <t>Tabla 6 - Ammonium nitrate (33,5-0-0) - Latin America</t>
  </si>
  <si>
    <t>The carbon footprint of fertiliser production: Regional Reference Values, International Fertiliser Society, 2019</t>
  </si>
  <si>
    <t>Wood, S. and Cowie, A. A Review of Greenhouse Gas Emission Factors for Fertiliser Production. 2004</t>
  </si>
  <si>
    <t>Tabla 10 - Urea (46-0-0) fertiliser products - Latin America</t>
  </si>
  <si>
    <t>Plastic - Plastics: average plastic film -  Primary material production</t>
  </si>
  <si>
    <t>Plastic - Plastics: average plastic rigid - Primary material production</t>
  </si>
  <si>
    <t>Plastic - Plastics: HDPE (incl. forming) -  Primary material production</t>
  </si>
  <si>
    <t>Plastic - Plastics: LDPE and LLDPE (incl. forming)  -  Primary material production</t>
  </si>
  <si>
    <t>Plastic - Plastics: PET (incl. forming)  -  Primary material production</t>
  </si>
  <si>
    <t>Plastic - Plastics: PP (incl. forming) -  Primary material production</t>
  </si>
  <si>
    <t>Plastic - Plastics: PS (incl. forming) -  Primary material production</t>
  </si>
  <si>
    <t>Plastic - Plastics: PVC (incl. forming) -  Primary material production</t>
  </si>
  <si>
    <t>Paper and board: paper - Primary material production</t>
  </si>
  <si>
    <t>Other - Books - Primary material production</t>
  </si>
  <si>
    <t>Ecoinvent 2.0 (2009)</t>
  </si>
  <si>
    <t>Construction - Wood - Primary material production</t>
  </si>
  <si>
    <t>Other - Glass - Primary material production</t>
  </si>
  <si>
    <t>Construction - Concrete - Primary material production</t>
  </si>
  <si>
    <t>Construction - Plasterboard - Primary material production</t>
  </si>
  <si>
    <t>Other - Clothing - Primary material production</t>
  </si>
  <si>
    <t>Liquid fuels - Diesel (100% mineral diesel)</t>
  </si>
  <si>
    <t>DEFRA 2024, WTT-fuels</t>
  </si>
  <si>
    <t>Gaseous fuels - LPG</t>
  </si>
  <si>
    <t>Petrol (100% mineral petrol)</t>
  </si>
  <si>
    <t>Gaseous fuels - Natural gas</t>
  </si>
  <si>
    <t>Other - Food and drinkg - Primary material production</t>
  </si>
  <si>
    <t>Liquid fuels - Lubricants</t>
  </si>
  <si>
    <t>DEFRA 2024, Fuel properties</t>
  </si>
  <si>
    <t>WTT- biomass - Wood logs</t>
  </si>
  <si>
    <t>DEFRA 2024, WTT-bioenergy</t>
  </si>
  <si>
    <t>Construction - Tyres - Primary material production</t>
  </si>
  <si>
    <t>Hammond, G. and Jones, C. The Inventory of Carbon and Energy ICE. 2011. ISBN 9780860227038</t>
  </si>
  <si>
    <t>Estimación del Factor de Emisión para neumáticos nuevos y recauchados para Asociación de Recauchadores y Renovadores de Neumáticos de Chile A.G. Sustrend, 2019.</t>
  </si>
  <si>
    <t>Ecoinvent 2.2 (2010)</t>
  </si>
  <si>
    <t>Paper and board: board</t>
  </si>
  <si>
    <t>Water supply / Water treatment</t>
  </si>
  <si>
    <t>DEFRA 2024, Water supply / Water treatment</t>
  </si>
  <si>
    <t>Electrical items - Electrical items - large</t>
  </si>
  <si>
    <t>Electrical items - Electrical items - fridges and freezers</t>
  </si>
  <si>
    <t>Electrical items - Electrical items - IT</t>
  </si>
  <si>
    <t>Hotel stay - Chile</t>
  </si>
  <si>
    <t>DEFRA 2024, Hotel stay</t>
  </si>
  <si>
    <t>Se recomienda utilizar como FE propio en plataforma ya que no se encuentra en la lista desplegable de la calculadora</t>
  </si>
  <si>
    <t>Office Equipment</t>
  </si>
  <si>
    <t>DEFRA 2024, Homeworking</t>
  </si>
  <si>
    <t>Heating</t>
  </si>
  <si>
    <t>Homeworking (office equipment + heating)</t>
  </si>
  <si>
    <t>International Fertiliser Society https://www.fertilizerseurope.com/</t>
  </si>
  <si>
    <t>https://www.fertilizerseurope.com/wp-content/uploads/2020/01/The-carbon-footprint-of-fertilizer-production_Regional-reference-values.pdf</t>
  </si>
  <si>
    <t>Nombre Fertilizante en HuellaChile</t>
  </si>
  <si>
    <t>Nombre Fertilizante en International Fertiliser Society</t>
  </si>
  <si>
    <t>Unidades Factor de emisión</t>
  </si>
  <si>
    <t>kgCO2e/kg</t>
  </si>
  <si>
    <t>UK Government GHG Conversion Factors for Company Reporting</t>
  </si>
  <si>
    <t>Material use</t>
  </si>
  <si>
    <t>Index</t>
  </si>
  <si>
    <t>Emissions source:</t>
  </si>
  <si>
    <t xml:space="preserve">Next publication date: </t>
  </si>
  <si>
    <t>Factor set:</t>
  </si>
  <si>
    <t>Full set</t>
  </si>
  <si>
    <t>Scope:</t>
  </si>
  <si>
    <t>Scope 3</t>
  </si>
  <si>
    <t>Version:</t>
  </si>
  <si>
    <t>Year:</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</si>
  <si>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</si>
  <si>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Guidance</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</si>
  <si>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</si>
  <si>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</si>
  <si>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</si>
  <si>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</si>
  <si>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</si>
  <si>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</si>
  <si>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Primary material production</t>
  </si>
  <si>
    <t>Re-used</t>
  </si>
  <si>
    <t>Open-loop source</t>
  </si>
  <si>
    <t>Closed-loop source</t>
  </si>
  <si>
    <t>Activity</t>
  </si>
  <si>
    <t>Material</t>
  </si>
  <si>
    <t>Unit</t>
  </si>
  <si>
    <r>
      <t>kg CO</t>
    </r>
    <r>
      <rPr>
        <vertAlign val="subscript"/>
        <sz val="11"/>
        <color indexed="56"/>
        <rFont val="Calibri"/>
        <family val="2"/>
      </rPr>
      <t>2</t>
    </r>
    <r>
      <rPr>
        <sz val="11"/>
        <color indexed="56"/>
        <rFont val="Calibri"/>
        <family val="2"/>
      </rPr>
      <t>e</t>
    </r>
  </si>
  <si>
    <t>Construction</t>
  </si>
  <si>
    <t>Aggregates</t>
  </si>
  <si>
    <t>tonnes</t>
  </si>
  <si>
    <t>Average construction</t>
  </si>
  <si>
    <t>Asbestos</t>
  </si>
  <si>
    <t>Asphalt</t>
  </si>
  <si>
    <t>Bricks</t>
  </si>
  <si>
    <t>Concrete</t>
  </si>
  <si>
    <t>Insulation</t>
  </si>
  <si>
    <t>Metals</t>
  </si>
  <si>
    <t>Soils</t>
  </si>
  <si>
    <t>Mineral oil</t>
  </si>
  <si>
    <t>Plasterboard</t>
  </si>
  <si>
    <t>Tyres</t>
  </si>
  <si>
    <t>Wood</t>
  </si>
  <si>
    <t>Other</t>
  </si>
  <si>
    <t>Books</t>
  </si>
  <si>
    <t>Glass</t>
  </si>
  <si>
    <t>Clothing</t>
  </si>
  <si>
    <t>Food and drink</t>
  </si>
  <si>
    <t>Organic</t>
  </si>
  <si>
    <t>Compost derived from garden waste</t>
  </si>
  <si>
    <t>Compost derived from food and garden waste</t>
  </si>
  <si>
    <t>Electrical items</t>
  </si>
  <si>
    <t>Electrical items - fridges and freezers</t>
  </si>
  <si>
    <t>Electrical items - large</t>
  </si>
  <si>
    <t>Electrical items - IT</t>
  </si>
  <si>
    <t>Electrical items - small</t>
  </si>
  <si>
    <t>Batteries - Alkaline</t>
  </si>
  <si>
    <t>Batteries - Li ion</t>
  </si>
  <si>
    <t>Batteries - NiMh</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</si>
  <si>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</si>
  <si>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</si>
  <si>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</si>
  <si>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</si>
  <si>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</si>
  <si>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</si>
  <si>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</si>
  <si>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</si>
  <si>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</si>
  <si>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</si>
  <si>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</si>
  <si>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</si>
  <si>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</si>
  <si>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</si>
  <si>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</si>
  <si>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</si>
  <si>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mixed</t>
  </si>
  <si>
    <t>Paper and board: paper</t>
  </si>
  <si>
    <t>FAQs</t>
  </si>
  <si>
    <t>Can I use these factor for my waste?</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</si>
  <si>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</si>
  <si>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For information about how the conversion factors have been derived, please refer to the 'Methodology paper' that accompanies the conversion factors.</t>
  </si>
  <si>
    <t>WTT- fuels</t>
  </si>
  <si>
    <t xml:space="preserve">Well-to-tank (WTT) fuels conversion factors should be used to account for the upstream Scope 3 emissions associated with extraction, refining and transportation of the raw fuel sources to an organisation’s site (or asset), prior to combustion.      </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</si>
  <si>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</si>
  <si>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</si>
  <si>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</si>
  <si>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</si>
  <si>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</si>
  <si>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</si>
  <si>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</si>
  <si>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Gaseous fuels</t>
  </si>
  <si>
    <t>Butane</t>
  </si>
  <si>
    <t>litres</t>
  </si>
  <si>
    <t>kWh (Net CV)</t>
  </si>
  <si>
    <t>kWh (Gross CV)</t>
  </si>
  <si>
    <t>CNG</t>
  </si>
  <si>
    <t>LNG</t>
  </si>
  <si>
    <t>LPG</t>
  </si>
  <si>
    <t>cubic metres</t>
  </si>
  <si>
    <t>Natural gas (100% mineral blend)</t>
  </si>
  <si>
    <t>Other petroleum gas</t>
  </si>
  <si>
    <t>Propane</t>
  </si>
  <si>
    <t>Liquid fuels</t>
  </si>
  <si>
    <t>Aviation spirit</t>
  </si>
  <si>
    <t>Aviation turbine fuel</t>
  </si>
  <si>
    <t>Burning oil</t>
  </si>
  <si>
    <t>Diesel (average biofuel blend)</t>
  </si>
  <si>
    <t>Diesel (100% mineral diesel)</t>
  </si>
  <si>
    <t>Fuel oil</t>
  </si>
  <si>
    <t>Gas oil</t>
  </si>
  <si>
    <t>Lubricants</t>
  </si>
  <si>
    <t>Petrol (average biofuel blend)</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</si>
  <si>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</si>
  <si>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</si>
  <si>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</si>
  <si>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</si>
  <si>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</si>
  <si>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</si>
  <si>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</si>
  <si>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</si>
  <si>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</si>
  <si>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</si>
  <si>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</si>
  <si>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</si>
  <si>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</si>
  <si>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</si>
  <si>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</si>
  <si>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WTT- bioenergy</t>
  </si>
  <si>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</si>
  <si>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</si>
  <si>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</si>
  <si>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</si>
  <si>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</si>
  <si>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</si>
  <si>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</si>
  <si>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WTT- biofuel</t>
  </si>
  <si>
    <t>Bioethanol</t>
  </si>
  <si>
    <t>GJ</t>
  </si>
  <si>
    <t>kg</t>
  </si>
  <si>
    <t>Biodiesel ME</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</si>
  <si>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</si>
  <si>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</si>
  <si>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</si>
  <si>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</si>
  <si>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</si>
  <si>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</si>
  <si>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</si>
  <si>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</si>
  <si>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</si>
  <si>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</si>
  <si>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</si>
  <si>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WTT- biomass</t>
  </si>
  <si>
    <t>Wood logs</t>
  </si>
  <si>
    <t>Wood chips</t>
  </si>
  <si>
    <t>Wood pellets</t>
  </si>
  <si>
    <t>Grass/straw</t>
  </si>
  <si>
    <t>WTT- biogas</t>
  </si>
  <si>
    <t>Biogas</t>
  </si>
  <si>
    <t>Landfill gas</t>
  </si>
  <si>
    <t>For information about how the conversion factors have been derived, please refer to the Methodology paper' that accompanies the conversion factors.</t>
  </si>
  <si>
    <t>Water treatment</t>
  </si>
  <si>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</si>
  <si>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</si>
  <si>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</si>
  <si>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</si>
  <si>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</si>
  <si>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Type</t>
  </si>
  <si>
    <t>million litres</t>
  </si>
  <si>
    <t>Water supply</t>
  </si>
  <si>
    <t>Water supply conversion factors should be used to account for water delivered through the mains supply network.</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</si>
  <si>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</si>
  <si>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</si>
  <si>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</si>
  <si>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</si>
  <si>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</si>
  <si>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</si>
  <si>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</si>
  <si>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</si>
  <si>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The conversion factor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</si>
  <si>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</si>
  <si>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</si>
  <si>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</si>
  <si>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</si>
  <si>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Country</t>
  </si>
  <si>
    <t>UK</t>
  </si>
  <si>
    <t>Room per night</t>
  </si>
  <si>
    <t>UK (London)</t>
  </si>
  <si>
    <t>Argentina</t>
  </si>
  <si>
    <t>Australia</t>
  </si>
  <si>
    <t>Austria</t>
  </si>
  <si>
    <t>Belgium</t>
  </si>
  <si>
    <t>Brazil</t>
  </si>
  <si>
    <t>Canada</t>
  </si>
  <si>
    <t>Chile</t>
  </si>
  <si>
    <t>China</t>
  </si>
  <si>
    <t>Colombia</t>
  </si>
  <si>
    <t>Costa Rica</t>
  </si>
  <si>
    <t>Czech Republic</t>
  </si>
  <si>
    <t>Egypt</t>
  </si>
  <si>
    <t>Fiji</t>
  </si>
  <si>
    <t>Finland</t>
  </si>
  <si>
    <t>France</t>
  </si>
  <si>
    <t>Germany</t>
  </si>
  <si>
    <t>Greece</t>
  </si>
  <si>
    <t>Hong Kong, China</t>
  </si>
  <si>
    <t>India</t>
  </si>
  <si>
    <t>Indonesia</t>
  </si>
  <si>
    <t>Ireland</t>
  </si>
  <si>
    <t>Israel</t>
  </si>
  <si>
    <t>Italy</t>
  </si>
  <si>
    <t>Japan</t>
  </si>
  <si>
    <t>Jordan</t>
  </si>
  <si>
    <t>Kazakhstan</t>
  </si>
  <si>
    <t>Korea</t>
  </si>
  <si>
    <t>Macau, China</t>
  </si>
  <si>
    <t>Malaysia</t>
  </si>
  <si>
    <t>Maldives</t>
  </si>
  <si>
    <t>Mexico</t>
  </si>
  <si>
    <t>Netherlands</t>
  </si>
  <si>
    <t>New Zealand</t>
  </si>
  <si>
    <t>Oman</t>
  </si>
  <si>
    <t>Panama</t>
  </si>
  <si>
    <t>Peru</t>
  </si>
  <si>
    <t>Philippines</t>
  </si>
  <si>
    <t>Poland</t>
  </si>
  <si>
    <t>Portugal</t>
  </si>
  <si>
    <t>Qatar</t>
  </si>
  <si>
    <t>Romania</t>
  </si>
  <si>
    <t>Russian Federation</t>
  </si>
  <si>
    <t>Saudi Arabia</t>
  </si>
  <si>
    <t>Singapore</t>
  </si>
  <si>
    <t>South Africa</t>
  </si>
  <si>
    <t>Spain</t>
  </si>
  <si>
    <t>Switzerland</t>
  </si>
  <si>
    <t>Taiwan, China</t>
  </si>
  <si>
    <t>Thailand</t>
  </si>
  <si>
    <t>Turkey</t>
  </si>
  <si>
    <t>United Arab Emirates</t>
  </si>
  <si>
    <t>United States</t>
  </si>
  <si>
    <t>Vietnam</t>
  </si>
  <si>
    <t xml:space="preserve">  </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</si>
  <si>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</si>
  <si>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</si>
  <si>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</si>
  <si>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t>Why can't I find a conversion factor for the country I'm interested in?</t>
  </si>
  <si>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</si>
  <si>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</si>
  <si>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</si>
  <si>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</si>
  <si>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</si>
  <si>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</si>
  <si>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</si>
  <si>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</si>
  <si>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</si>
  <si>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</si>
  <si>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per FTE Working Hour</t>
  </si>
  <si>
    <t>How are the homeworking conversion factors derived?</t>
  </si>
  <si>
    <t>The homeworking conversion factors are calculated using the methodology from the Homeworking emission Whitepaper (EcoAct, 2020)</t>
  </si>
  <si>
    <t>Transporte de terceros - Transporte de personas - Traslado diaro de personal</t>
  </si>
  <si>
    <t>Nombre otras fuentes</t>
  </si>
  <si>
    <t>Valor factor de emisión</t>
  </si>
  <si>
    <t>Cars (by size) - Average car - Petrol</t>
  </si>
  <si>
    <t>DEFRA 2024, Passenger vehicles</t>
  </si>
  <si>
    <t>Cars (by size) - Average car - Diesel</t>
  </si>
  <si>
    <t>Taxis - Regular taxi</t>
  </si>
  <si>
    <t>DEFRA 2024, Business travel - land</t>
  </si>
  <si>
    <t>Motorbike - Average</t>
  </si>
  <si>
    <t>Bus - Local bus (not London)</t>
  </si>
  <si>
    <t>Bus - Coach</t>
  </si>
  <si>
    <t>Bus - Average local bus</t>
  </si>
  <si>
    <t>Intensidad de emisiones kgCO2e/km-pasajero</t>
  </si>
  <si>
    <t>Memoria Integrada Metro 2023, Página 103. Disponible en: https://www.metro.cl/gobierno-corporativo/memoria</t>
  </si>
  <si>
    <t>Rail - National rail</t>
  </si>
  <si>
    <t>HuellaChile</t>
  </si>
  <si>
    <t>Cars (by size) - Average car - Plug-in Hybrid Electric Vehicle</t>
  </si>
  <si>
    <t>Cars (by size) - Average car - Battery Electric Vehicle</t>
  </si>
  <si>
    <t>Transporte de terceros - Transporte de personas - Viajes de negocios</t>
  </si>
  <si>
    <t>Flights - Domestic, to/from UK - Average passenger - Without RF</t>
  </si>
  <si>
    <t>DEFRA 2024, Business travel - air</t>
  </si>
  <si>
    <t>Flights - International, to/from non-UK - Average passenger - Without RF</t>
  </si>
  <si>
    <t>Cars (by size) - Large car - diesel</t>
  </si>
  <si>
    <t>Cars (by size) - Large car - petrol</t>
  </si>
  <si>
    <t>Cars (by size) - Large car - Battery Electric Vehicle</t>
  </si>
  <si>
    <t>Cars (by size) - Large car - Plug-in Hybrid Electric Vehicle</t>
  </si>
  <si>
    <t>Transporte de terceros - Transporte de personas - Transporte de clientes y visitantes</t>
  </si>
  <si>
    <t>Business travel- air</t>
  </si>
  <si>
    <t>Air conversion factors should be used to report Scope 3 emissions for individuals flying for work purposes.</t>
  </si>
  <si>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</si>
  <si>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</si>
  <si>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</si>
  <si>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</si>
  <si>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</si>
  <si>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</si>
  <si>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</si>
  <si>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t>With RF</t>
  </si>
  <si>
    <t>Without RF</t>
  </si>
  <si>
    <t>Haul</t>
  </si>
  <si>
    <t>Class</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</si>
  <si>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</si>
  <si>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</si>
  <si>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</si>
  <si>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</si>
  <si>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</si>
  <si>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</si>
  <si>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</si>
  <si>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</si>
  <si>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</si>
  <si>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</si>
  <si>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</si>
  <si>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</si>
  <si>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</si>
  <si>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</si>
  <si>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How do you define domestic, short-haul, long-haul and international flights?</t>
  </si>
  <si>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</si>
  <si>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</si>
  <si>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</si>
  <si>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</si>
  <si>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</si>
  <si>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</si>
  <si>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</si>
  <si>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</si>
  <si>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</si>
  <si>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indirect effect of aviation emissions</t>
  </si>
  <si>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</si>
  <si>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Tell me more about the international factors that were introduced in 2015</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</si>
  <si>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</si>
  <si>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Freighting goods</t>
  </si>
  <si>
    <t>WTT- delivery vehs &amp; freight</t>
  </si>
  <si>
    <t>Please note - the international business travel factors are an average of short and long-haul flights to/from UK.</t>
  </si>
  <si>
    <t>Business travel- land</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</si>
  <si>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</si>
  <si>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</si>
  <si>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</si>
  <si>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</si>
  <si>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</si>
  <si>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</si>
  <si>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</si>
  <si>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</si>
  <si>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</si>
  <si>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</si>
  <si>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 xml:space="preserve">An error was identified in rounding Diesel conversion factors, reducing them to zero. kg CO2e of CH4 per unit in km have been updated to non-zero values since version 1.0 of this file. </t>
  </si>
  <si>
    <t>Petrol</t>
  </si>
  <si>
    <t>Hybrid</t>
  </si>
  <si>
    <t>Unknown</t>
  </si>
  <si>
    <t>Plug-in Hybrid Electric Vehicle</t>
  </si>
  <si>
    <t>Battery Electric Vehicle</t>
  </si>
  <si>
    <t>Cars (by market segment)</t>
  </si>
  <si>
    <t>Mini</t>
  </si>
  <si>
    <t>km</t>
  </si>
  <si>
    <t>miles</t>
  </si>
  <si>
    <t>Supermini</t>
  </si>
  <si>
    <t>Lower medium</t>
  </si>
  <si>
    <t>Upper medium</t>
  </si>
  <si>
    <t>Executive</t>
  </si>
  <si>
    <t>Luxury</t>
  </si>
  <si>
    <t>Sports</t>
  </si>
  <si>
    <t>Dual purpose 4X4</t>
  </si>
  <si>
    <t>MPV</t>
  </si>
  <si>
    <t>Cars (by size)</t>
  </si>
  <si>
    <t>Small car</t>
  </si>
  <si>
    <t>Medium car</t>
  </si>
  <si>
    <t>Large car</t>
  </si>
  <si>
    <t>Average car</t>
  </si>
  <si>
    <t>Motorbike</t>
  </si>
  <si>
    <t>Small</t>
  </si>
  <si>
    <t>Medium</t>
  </si>
  <si>
    <t>Large</t>
  </si>
  <si>
    <t>Average</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</si>
  <si>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</si>
  <si>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</si>
  <si>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</si>
  <si>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</si>
  <si>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</si>
  <si>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</si>
  <si>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</si>
  <si>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</si>
  <si>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</si>
  <si>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</si>
  <si>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</si>
  <si>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</si>
  <si>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</si>
  <si>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Which tables do I need to use to capture all the emissions resulting from the use of my plug-in electric vehicles?</t>
  </si>
  <si>
    <t>Please refer to the 'Passenger vehicles' FAQ for tables providing this information.</t>
  </si>
  <si>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</si>
  <si>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</si>
  <si>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</si>
  <si>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</si>
  <si>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</si>
  <si>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</si>
  <si>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t>Aviation is the only form of transport where the effects of radiative forcing are considered to be significant.</t>
  </si>
  <si>
    <t>Passenger vehicles</t>
  </si>
  <si>
    <t>Scope 1</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</si>
  <si>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</si>
  <si>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</si>
  <si>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</si>
  <si>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</si>
  <si>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</si>
  <si>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</si>
  <si>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All of the factors presented for motorbikes are for petrol</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</si>
  <si>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</si>
  <si>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</si>
  <si>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</si>
  <si>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</si>
  <si>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</si>
  <si>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</si>
  <si>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</si>
  <si>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</si>
  <si>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</si>
  <si>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</si>
  <si>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</si>
  <si>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</si>
  <si>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Which tables do I need to use to capture all the emissions resulting from the use of my plug-in electric vehicles (PHEVs)?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</si>
  <si>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</si>
  <si>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</si>
  <si>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Scope</t>
  </si>
  <si>
    <t>Car</t>
  </si>
  <si>
    <t>Van</t>
  </si>
  <si>
    <t>Includes</t>
  </si>
  <si>
    <t>Fuels</t>
  </si>
  <si>
    <t>YES</t>
  </si>
  <si>
    <t>NO</t>
  </si>
  <si>
    <t>Scope 1 emissions from use of petrol or diesel.</t>
  </si>
  <si>
    <t>WTT Scope 3 emissions from use of petrol and diesel.</t>
  </si>
  <si>
    <t>UK Electricity</t>
  </si>
  <si>
    <t>Scope 2</t>
  </si>
  <si>
    <t>Scope 2 emissions from use of electricity.</t>
  </si>
  <si>
    <t>Transmission and distribution</t>
  </si>
  <si>
    <t>Scope 3 emissions from T&amp;D losses from use of electricity.</t>
  </si>
  <si>
    <t>WTT- UK &amp; overseas elec</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</si>
  <si>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</si>
  <si>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</si>
  <si>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</si>
  <si>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</si>
  <si>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</si>
  <si>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</si>
  <si>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</si>
  <si>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Delivery vehicles</t>
  </si>
  <si>
    <t>UK electricity for EVs</t>
  </si>
  <si>
    <t>Only Scope 2 emissions from electricity use.</t>
  </si>
  <si>
    <t>UK electricity T&amp;D for EVs</t>
  </si>
  <si>
    <t>Only Scope 3 emissions from electricity T&amp;D losses.</t>
  </si>
  <si>
    <t>OR</t>
  </si>
  <si>
    <t>B</t>
  </si>
  <si>
    <t>Sum of Scope 1 and Scope 2, plus Scope 3 electricity T&amp;D losses.</t>
  </si>
  <si>
    <t>Managed assets- vehicles</t>
  </si>
  <si>
    <t>AND</t>
  </si>
  <si>
    <t>C</t>
  </si>
  <si>
    <t>WTT- pass vehs &amp; travel- land</t>
  </si>
  <si>
    <t>Only Scope 3 WTT emissions (all fuel types, electricity)</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</si>
  <si>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</si>
  <si>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</si>
  <si>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</si>
  <si>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</si>
  <si>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</si>
  <si>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Transporte de terceros - Transporte de cargas</t>
  </si>
  <si>
    <t>Nombre categoría  en HuellaChile</t>
  </si>
  <si>
    <t>Medio de transporte</t>
  </si>
  <si>
    <t>HGV (all diesel) - All rigids - Average laden</t>
  </si>
  <si>
    <t>DEFRA 2024, Freighting goods</t>
  </si>
  <si>
    <t>HGV (all diesel) - Rigid (&gt;3.5 - 7.5 tonnes) - Average laden</t>
  </si>
  <si>
    <t>HGV (all diesel) - Rigid (&gt;7.5 tonnes-17 tonnes) - Average laden</t>
  </si>
  <si>
    <t>HGV (all diesel) - Rigid (&gt;17 tonnes) - Average laden</t>
  </si>
  <si>
    <t>HGV (all diesel) - All artics - Average laden</t>
  </si>
  <si>
    <t>HGV (all diesel) - Articulated (&gt;3.5 - 33t) - Average laden</t>
  </si>
  <si>
    <t>HGV (all diesel) - Articulated (&gt;33t) - Average laden</t>
  </si>
  <si>
    <t>HGV (all diesel) - All HGVs- Average laden</t>
  </si>
  <si>
    <t>Rail - Freight train</t>
  </si>
  <si>
    <t>Vans - Diesel - Average (up to 3.5 tonnes)</t>
  </si>
  <si>
    <t>HGV (all diesel) - All artics- Average laden</t>
  </si>
  <si>
    <t>HGV refrigerated (all diesel) - All HGVs - Average laden</t>
  </si>
  <si>
    <t>Cargo ship - Container ship - Average</t>
  </si>
  <si>
    <t>Cargo ship - Bulk carrier - Average</t>
  </si>
  <si>
    <t>Freight flights - Domestic, to/from UK - Without RF</t>
  </si>
  <si>
    <t>Freight flights - International, to/from non-UK - Without RF</t>
  </si>
  <si>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</si>
  <si>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</si>
  <si>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</si>
  <si>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</si>
  <si>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</si>
  <si>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</si>
  <si>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</si>
  <si>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</si>
  <si>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</si>
  <si>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</si>
  <si>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</si>
  <si>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</si>
  <si>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Vans</t>
  </si>
  <si>
    <t>Class I (up to 1.305 tonnes)</t>
  </si>
  <si>
    <t>tonne.km</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</si>
  <si>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</si>
  <si>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</si>
  <si>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</si>
  <si>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</si>
  <si>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</si>
  <si>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</si>
  <si>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</si>
  <si>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</si>
  <si>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</si>
  <si>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</si>
  <si>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</si>
  <si>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</si>
  <si>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</si>
  <si>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</si>
  <si>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</si>
  <si>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</si>
  <si>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 refrigerated (all diesel)</t>
  </si>
  <si>
    <t>Freight flights</t>
  </si>
  <si>
    <t>Freight train</t>
  </si>
  <si>
    <t>Size</t>
  </si>
  <si>
    <t>Sea tanker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</si>
  <si>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</si>
  <si>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</si>
  <si>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</si>
  <si>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</si>
  <si>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</si>
  <si>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</si>
  <si>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</si>
  <si>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</si>
  <si>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</si>
  <si>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</si>
  <si>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</si>
  <si>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</si>
  <si>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</si>
  <si>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</si>
  <si>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</si>
  <si>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</si>
  <si>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</si>
  <si>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</si>
  <si>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</si>
  <si>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</si>
  <si>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</si>
  <si>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Cargo ship</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</si>
  <si>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</si>
  <si>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</si>
  <si>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</si>
  <si>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</si>
  <si>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</si>
  <si>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</si>
  <si>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</si>
  <si>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</si>
  <si>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</si>
  <si>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</si>
  <si>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</si>
  <si>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</si>
  <si>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</si>
  <si>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</si>
  <si>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</si>
  <si>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</si>
  <si>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</si>
  <si>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</si>
  <si>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</si>
  <si>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</si>
  <si>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</si>
  <si>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</si>
  <si>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</si>
  <si>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</si>
  <si>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</si>
  <si>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</si>
  <si>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</si>
  <si>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</si>
  <si>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</si>
  <si>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Tell me more about the international flight factors that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</si>
  <si>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</si>
  <si>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Transporte de terceros - Transporte de residuos</t>
  </si>
  <si>
    <t>Tipo de residuo en HuellaChile</t>
  </si>
  <si>
    <t>Medio de transporte en HuellaChile</t>
  </si>
  <si>
    <t>Vans - Average (up to 3.5 tonnes)</t>
  </si>
  <si>
    <t>Uso de productos - Quema de combustible</t>
  </si>
  <si>
    <t>Uso de productos - Emisiones fugitivas</t>
  </si>
  <si>
    <t>Tratamiento y/o disposición de residuos</t>
  </si>
  <si>
    <t>Tipo de destino/tratamiento HuellaChile</t>
  </si>
  <si>
    <t>Construction - Aggregates - Closed-loop</t>
  </si>
  <si>
    <t>DEFRA 2024, Waste disposal</t>
  </si>
  <si>
    <t>Plastic - Plastics: average plastics - Closed-loop</t>
  </si>
  <si>
    <t>Plastic - Plastics: HDPE (incl. forming) - Closed-loop</t>
  </si>
  <si>
    <t>Plastic - Plastics: LDPE and LLDPE (incl. forming) - Closed-loop</t>
  </si>
  <si>
    <t>Plastic - Plastics: PET (incl. forming) - Closed-loop</t>
  </si>
  <si>
    <t>Plastic - Plastics: PP (incl. forming) - Closed-loop</t>
  </si>
  <si>
    <t>Plastic - Plastics: PS (incl. forming) - Closed-loop</t>
  </si>
  <si>
    <t>Plastic - Plastics: Plastics: PVC (incl. forming) - Closed-loop</t>
  </si>
  <si>
    <t>Other - Clothing - Closed-loop</t>
  </si>
  <si>
    <t>Construction - Tyres - Closed-loop</t>
  </si>
  <si>
    <t>Electrical items - WEEE - mixed - Open-loop</t>
  </si>
  <si>
    <t>Construction - Wood - Closed-loop</t>
  </si>
  <si>
    <t>Electrical items - Batteries - Open-loop</t>
  </si>
  <si>
    <t>Construction - Average construction - Closed-loop</t>
  </si>
  <si>
    <t>Other - Glass - Closed-loop</t>
  </si>
  <si>
    <t>Metal - Metal: aluminium cans and foil (excl. forming) - Closed-loop</t>
  </si>
  <si>
    <t>Metal - Metal: scrap metal - Closed-loop</t>
  </si>
  <si>
    <t>Construction - Mineral oil - Closed-loop</t>
  </si>
  <si>
    <t>Paper - Paper and board: mixed - Closed-loop</t>
  </si>
  <si>
    <t>Refuse - Organic: food and drink waste - Composting</t>
  </si>
  <si>
    <t>Refuse - Commercial and industrial waste - Landfill</t>
  </si>
  <si>
    <t>Refuse - Household residual waste- Landfill</t>
  </si>
  <si>
    <t>Waste disposal</t>
  </si>
  <si>
    <t>Waste disposal figures should be used for end-of-life disposal of different materials using a variety of different disposal methods.</t>
  </si>
  <si>
    <t>●  To calculate the emissions from multiple waste streams, the emissions sub totals may be added up.</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</si>
  <si>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</si>
  <si>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</si>
  <si>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</si>
  <si>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t>https://wrap.org.uk/resources/report/carbon-waste-and-resources-metric</t>
  </si>
  <si>
    <t>Example of calculating emissions from waste disposal</t>
  </si>
  <si>
    <t>Company K sends 0.5 tonnes of food waste to landfill each year, but has a white paper recycling scheme in place.</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</si>
  <si>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</si>
  <si>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t>Company K’s total waste emissions are calculated by adding the two waste disposal subtotals together.</t>
  </si>
  <si>
    <t>Re-use</t>
  </si>
  <si>
    <t>Open-loop</t>
  </si>
  <si>
    <t>Closed-loop</t>
  </si>
  <si>
    <t>Combustion</t>
  </si>
  <si>
    <t>Composting</t>
  </si>
  <si>
    <t>Landfill</t>
  </si>
  <si>
    <t>Anaerobic digestion</t>
  </si>
  <si>
    <t>Waste type</t>
  </si>
  <si>
    <t>Refuse</t>
  </si>
  <si>
    <t>Household residual waste</t>
  </si>
  <si>
    <t>Organic: food and drink waste</t>
  </si>
  <si>
    <t>Organic: garden waste</t>
  </si>
  <si>
    <t>Organic: mixed food and garden waste</t>
  </si>
  <si>
    <t>Commercial and industrial waste</t>
  </si>
  <si>
    <t>WEEE - fridges and freezers</t>
  </si>
  <si>
    <t>WEEE - large</t>
  </si>
  <si>
    <t>WEEE - mixed</t>
  </si>
  <si>
    <t>WEEE - small</t>
  </si>
  <si>
    <t>Batteries</t>
  </si>
  <si>
    <t>Can I use these materials factors for goods my organisation procures?</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</si>
  <si>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</si>
  <si>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</si>
  <si>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</si>
  <si>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Why there are no conversion factors for the disposal method "Re-use"?</t>
  </si>
  <si>
    <t>"Re-use" is not within the scope of the GHG conversion factors because it is not a waste disposal method. Only the disposal of waste at the end of its life is within scope.</t>
  </si>
  <si>
    <t>CONTROL DE CAMBIOS</t>
  </si>
  <si>
    <t>Contiene el seguimiento de los cambios realizados entre versiones del documento.</t>
  </si>
  <si>
    <t>Versión</t>
  </si>
  <si>
    <t>Cambios realizados</t>
  </si>
  <si>
    <t>- Traslado diaro de personal
- Viajes de negocios
- Transporte de clientes y visitantes</t>
  </si>
  <si>
    <t>Se realiza un ajuste en los factores de emisión de los transportes "Bus local (aprox. 25 pers.)" y "Bus interurbano (aprox. 45 pers.)", con el fin de reflejar la mayor eficiencia del bus interurbano en comparación con el bus local.</t>
  </si>
  <si>
    <t xml:space="preserve">Vehículos de pasajeros o carga </t>
  </si>
  <si>
    <t>Para los combustible "Gas natural" y "Gas ciudad (cañería o corriente)" , se elimina el factor de emisión en unidades kgCO2e/litros ya que la conversión no es directa debido a los cambios de presión que deben considerarse al reportar el combustible en litros.</t>
  </si>
  <si>
    <t>Para el combustible "Gas natural", se elimina el factor de emisión en unidades kgCO2e/litros ya que la conversión no es directa debido a los cambios de presión que deben considerarse al reportar el combustible en litros.</t>
  </si>
  <si>
    <t>Categoría (Hoja)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</si>
</sst>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 #,##0_ ;_ * \-#,##0_ ;_ * &quot;-&quot;_ ;_ @_ "/>
    <numFmt numFmtId="43" formatCode="_ * #,##0.00_ ;_ * \-#,##0.00_ ;_ * &quot;-&quot;??_ ;_ @_ "/>
    <numFmt numFmtId="164" formatCode="_(* #,##0.00_);_(* \(#,##0.00\);_(* &quot;-&quot;??_);_(@_)"/>
    <numFmt numFmtId="165" formatCode="0.0"/>
    <numFmt numFmtId="166" formatCode="0.000"/>
    <numFmt numFmtId="167" formatCode="_-* #,##0.0\ _€_-;\-* #,##0.0\ _€_-;_-* &quot;-&quot;??\ _€_-;_-@_-"/>
    <numFmt numFmtId="168" formatCode="_-* #,##0.00_-;\-* #,##0.00_-;_-* &quot;-&quot;??_-;_-@_-"/>
    <numFmt numFmtId="169" formatCode="_ * #,##0_ ;_ * \-#,##0_ ;_ * &quot;-&quot;??_ ;_ @_ "/>
    <numFmt numFmtId="170" formatCode="_-* #,##0_-;\-* #,##0_-;_-* &quot;-&quot;??_-;_-@_-"/>
    <numFmt numFmtId="171" formatCode="_ * #,##0.000_ ;_ * \-#,##0.000_ ;_ * &quot;-&quot;??_ ;_ @_ "/>
    <numFmt numFmtId="172" formatCode="_ * #,##0.00000_ ;_ * \-#,##0.00000_ ;_ * &quot;-&quot;??_ ;_ @_ "/>
    <numFmt numFmtId="173" formatCode="_(* #,##0.0_);_(* \(#,##0.0\);_(* &quot;-&quot;??_);_(@_)"/>
    <numFmt numFmtId="174" formatCode="_(* #,##0_);_(* \(#,##0\);_(* &quot;-&quot;??_);_(@_)"/>
    <numFmt numFmtId="175" formatCode="_(* #,##0.0000_);_(* \(#,##0.0000\);_(* &quot;-&quot;??_);_(@_)"/>
    <numFmt numFmtId="176" formatCode="_ * #,##0.000000_ ;_ * \-#,##0.000000_ ;_ * &quot;-&quot;??_ ;_ @_ "/>
    <numFmt numFmtId="177" formatCode="#,##0.0"/>
    <numFmt numFmtId="178" formatCode="0.00000"/>
    <numFmt numFmtId="179" formatCode="??0.0????"/>
    <numFmt numFmtId="180" formatCode="??0.0?????"/>
    <numFmt numFmtId="181" formatCode="0.000000"/>
    <numFmt numFmtId="182" formatCode="#,##0.000"/>
    <numFmt numFmtId="183" formatCode="0.0000"/>
    <numFmt numFmtId="184" formatCode="0.0000000"/>
    <numFmt numFmtId="185" formatCode="_ * #,##0.0_ ;_ * \-#,##0.0_ ;_ * &quot;-&quot;_ ;_ @_ "/>
    <numFmt numFmtId="186" formatCode="_ * #,##0.0000_ ;_ * \-#,##0.0000_ ;_ * &quot;-&quot;??_ ;_ @_ "/>
    <numFmt numFmtId="187" formatCode="_ * #,##0.0000000_ ;_ * \-#,##0.0000000_ ;_ * &quot;-&quot;??_ ;_ @_ "/>
    <numFmt numFmtId="188" formatCode="0.E+00"/>
    <numFmt numFmtId="189" formatCode="0.0%"/>
    <numFmt numFmtId="190" formatCode="_ * #,##0.000_ ;_ * \-#,##0.000_ ;_ * &quot;-&quot;???_ ;_ @_ "/>
    <numFmt numFmtId="191" formatCode="_ * #,##0.0_ ;_ * \-#,##0.0_ ;_ * &quot;-&quot;??_ ;_ @_ "/>
    <numFmt numFmtId="192" formatCode="_-* #,##0.00\ _€_-;\-* #,##0.00\ _€_-;_-* &quot;-&quot;??\ _€_-;_-@_-"/>
    <numFmt numFmtId="193" formatCode="0.0.E+00"/>
    <numFmt numFmtId="194" formatCode="#,##0.0000"/>
    <numFmt numFmtId="195" formatCode="#,##0.00000"/>
    <numFmt numFmtId="196" formatCode="#,##0.000000"/>
    <numFmt numFmtId="197" formatCode="0.00.E+00"/>
  </numFmts>
  <fonts count="127">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FFFFFF"/>
      <name val="Calibri"/>
      <family val="2"/>
    </font>
    <font>
      <sz val="11"/>
      <color rgb="FF000000"/>
      <name val="Calibri"/>
      <family val="2"/>
    </font>
    <font>
      <b/>
      <sz val="11"/>
      <color theme="0"/>
      <name val="Calibri"/>
      <family val="2"/>
      <scheme val="minor"/>
    </font>
    <font>
      <b/>
      <sz val="11"/>
      <color theme="1"/>
      <name val="Calibri"/>
      <family val="2"/>
      <scheme val="minor"/>
    </font>
    <font>
      <b/>
      <sz val="11"/>
      <color rgb="FFFFFFFF"/>
      <name val="Calibri"/>
      <family val="2"/>
      <scheme val="minor"/>
    </font>
    <font>
      <b/>
      <sz val="11"/>
      <color rgb="FF000000"/>
      <name val="Calibri"/>
      <family val="2"/>
    </font>
    <font>
      <sz val="11"/>
      <color rgb="FF000000"/>
      <name val="Calibri"/>
      <family val="2"/>
    </font>
    <font>
      <sz val="10"/>
      <color rgb="FF000000"/>
      <name val="Times New Roman"/>
      <family val="1"/>
    </font>
    <font>
      <b/>
      <sz val="10"/>
      <color rgb="FF000000"/>
      <name val="Times New Roman"/>
      <family val="1"/>
    </font>
    <font>
      <b/>
      <sz val="9"/>
      <name val="Times New Roman"/>
      <family val="1"/>
    </font>
    <font>
      <b/>
      <sz val="7"/>
      <name val="Times New Roman"/>
      <family val="1"/>
    </font>
    <font>
      <b/>
      <u/>
      <sz val="7"/>
      <color rgb="FFC00000"/>
      <name val="Times New Roman"/>
      <family val="1"/>
    </font>
    <font>
      <b/>
      <u/>
      <sz val="9"/>
      <color rgb="FFC00000"/>
      <name val="Times New Roman"/>
      <family val="1"/>
    </font>
    <font>
      <b/>
      <sz val="8"/>
      <name val="Times New Roman"/>
      <family val="1"/>
    </font>
    <font>
      <b/>
      <vertAlign val="subscript"/>
      <sz val="8"/>
      <name val="Times New Roman"/>
      <family val="1"/>
    </font>
    <font>
      <sz val="9"/>
      <name val="Times New Roman"/>
      <family val="1"/>
    </font>
    <font>
      <sz val="8"/>
      <name val="Times New Roman"/>
      <family val="1"/>
    </font>
    <font>
      <sz val="9"/>
      <color rgb="FF000000"/>
      <name val="Times New Roman"/>
      <family val="1"/>
    </font>
    <font>
      <vertAlign val="superscript"/>
      <sz val="9"/>
      <name val="Times New Roman"/>
      <family val="1"/>
    </font>
    <font>
      <vertAlign val="superscript"/>
      <sz val="8"/>
      <name val="Times New Roman"/>
      <family val="1"/>
    </font>
    <font>
      <vertAlign val="superscript"/>
      <sz val="7.5"/>
      <name val="Times New Roman"/>
      <family val="1"/>
    </font>
    <font>
      <sz val="7.5"/>
      <name val="Times New Roman"/>
      <family val="1"/>
    </font>
    <font>
      <vertAlign val="subscript"/>
      <sz val="7.5"/>
      <name val="Times New Roman"/>
      <family val="1"/>
    </font>
    <font>
      <b/>
      <sz val="7.5"/>
      <name val="Times New Roman"/>
      <family val="1"/>
    </font>
    <font>
      <i/>
      <sz val="7.5"/>
      <name val="Times New Roman"/>
      <family val="1"/>
    </font>
    <font>
      <sz val="10"/>
      <name val="Arial"/>
      <family val="2"/>
    </font>
    <font>
      <sz val="10"/>
      <name val="Geneva"/>
    </font>
    <font>
      <b/>
      <sz val="8"/>
      <color theme="1"/>
      <name val="Arial"/>
      <family val="2"/>
    </font>
    <font>
      <u/>
      <sz val="10"/>
      <color indexed="12"/>
      <name val="Arial"/>
      <family val="2"/>
    </font>
    <font>
      <u/>
      <sz val="8"/>
      <color indexed="12"/>
      <name val="Arial"/>
      <family val="2"/>
    </font>
    <font>
      <b/>
      <sz val="8"/>
      <name val="Calibri"/>
      <family val="2"/>
      <scheme val="minor"/>
    </font>
    <font>
      <sz val="8"/>
      <name val="Calibri"/>
      <family val="2"/>
      <scheme val="minor"/>
    </font>
    <font>
      <b/>
      <sz val="10"/>
      <name val="Arial"/>
      <family val="2"/>
    </font>
    <font>
      <sz val="8"/>
      <color theme="1"/>
      <name val="Calibri"/>
      <family val="2"/>
      <scheme val="minor"/>
    </font>
    <font>
      <sz val="11"/>
      <name val="Calibri"/>
      <family val="2"/>
      <scheme val="minor"/>
    </font>
    <font>
      <b/>
      <sz val="11"/>
      <color theme="0"/>
      <name val="Calibri"/>
      <family val="2"/>
    </font>
    <font>
      <sz val="8"/>
      <name val="Calibri"/>
      <family val="2"/>
    </font>
    <font>
      <sz val="11"/>
      <color theme="0"/>
      <name val="Calibri"/>
      <family val="2"/>
    </font>
    <font>
      <sz val="11"/>
      <color rgb="FFFF0000"/>
      <name val="Calibri"/>
      <family val="2"/>
    </font>
    <font>
      <sz val="11"/>
      <color rgb="FF444444"/>
      <name val="Aptos Narrow"/>
      <family val="2"/>
    </font>
    <font>
      <sz val="10"/>
      <color theme="1"/>
      <name val="Arial"/>
      <family val="2"/>
    </font>
    <font>
      <i/>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10"/>
      <color rgb="FF053D5F"/>
      <name val="Calibri"/>
      <family val="2"/>
      <scheme val="minor"/>
    </font>
    <font>
      <sz val="10"/>
      <color rgb="FFFF0000"/>
      <name val="Calibri"/>
      <family val="2"/>
      <scheme val="minor"/>
    </font>
    <font>
      <sz val="4"/>
      <color rgb="FF053D5F"/>
      <name val="Calibri"/>
      <family val="2"/>
      <scheme val="minor"/>
    </font>
    <font>
      <b/>
      <sz val="10"/>
      <color rgb="FF053D5F"/>
      <name val="Calibri"/>
      <family val="2"/>
      <scheme val="minor"/>
    </font>
    <font>
      <b/>
      <sz val="11"/>
      <color rgb="FF053D5F"/>
      <name val="Calibri"/>
      <family val="2"/>
      <scheme val="minor"/>
    </font>
    <font>
      <b/>
      <u/>
      <sz val="12"/>
      <color rgb="FF053D5F"/>
      <name val="Calibri"/>
      <family val="2"/>
      <scheme val="minor"/>
    </font>
    <font>
      <sz val="11"/>
      <color rgb="FF002060"/>
      <name val="Calibri"/>
      <family val="2"/>
      <scheme val="minor"/>
    </font>
    <font>
      <vertAlign val="subscript"/>
      <sz val="11"/>
      <color indexed="56"/>
      <name val="Calibri"/>
      <family val="2"/>
    </font>
    <font>
      <sz val="11"/>
      <color indexed="56"/>
      <name val="Calibri"/>
      <family val="2"/>
    </font>
    <font>
      <u/>
      <sz val="11"/>
      <color rgb="FF002060"/>
      <name val="Calibri"/>
      <family val="2"/>
    </font>
    <font>
      <b/>
      <i/>
      <sz val="11"/>
      <color theme="4" tint="-0.499984740745262"/>
      <name val="Calibri"/>
      <family val="2"/>
      <scheme val="minor"/>
    </font>
    <font>
      <b/>
      <sz val="8"/>
      <name val="Tahoma"/>
      <family val="2"/>
    </font>
    <font>
      <sz val="4"/>
      <color theme="1"/>
      <name val="Calibri"/>
      <family val="2"/>
      <scheme val="minor"/>
    </font>
    <font>
      <u/>
      <sz val="11"/>
      <color indexed="30"/>
      <name val="Calibri"/>
      <family val="2"/>
    </font>
    <font>
      <sz val="11"/>
      <color theme="3"/>
      <name val="Calibri"/>
      <family val="2"/>
      <scheme val="minor"/>
    </font>
    <font>
      <i/>
      <sz val="11"/>
      <color rgb="FF053D5F"/>
      <name val="Calibri"/>
      <family val="2"/>
      <scheme val="minor"/>
    </font>
    <font>
      <sz val="11"/>
      <color theme="4" tint="-0.499984740745262"/>
      <name val="Calibri"/>
      <family val="2"/>
    </font>
    <font>
      <b/>
      <sz val="11"/>
      <color indexed="62"/>
      <name val="Calibri"/>
      <family val="2"/>
    </font>
    <font>
      <b/>
      <u/>
      <sz val="11"/>
      <color indexed="62"/>
      <name val="Calibri"/>
      <family val="2"/>
    </font>
    <font>
      <b/>
      <u/>
      <sz val="11"/>
      <color indexed="12"/>
      <name val="Calibri"/>
      <family val="2"/>
    </font>
    <font>
      <sz val="11"/>
      <color indexed="62"/>
      <name val="Calibri"/>
      <family val="2"/>
    </font>
    <font>
      <sz val="11"/>
      <color theme="4" tint="-0.499984740745262"/>
      <name val="Calibri"/>
      <family val="2"/>
      <scheme val="minor"/>
    </font>
    <font>
      <b/>
      <sz val="9"/>
      <color indexed="81"/>
      <name val="Tahoma"/>
      <family val="2"/>
    </font>
    <font>
      <sz val="4"/>
      <color theme="1"/>
      <name val="Arial"/>
      <family val="2"/>
    </font>
    <font>
      <sz val="11"/>
      <color indexed="30"/>
      <name val="Calibri"/>
      <family val="2"/>
    </font>
    <font>
      <b/>
      <u/>
      <sz val="11"/>
      <color theme="10"/>
      <name val="Calibri"/>
      <family val="2"/>
    </font>
    <font>
      <sz val="9"/>
      <color indexed="81"/>
      <name val="Tahoma"/>
      <family val="2"/>
    </font>
    <font>
      <vertAlign val="superscript"/>
      <sz val="11"/>
      <color indexed="56"/>
      <name val="Calibri"/>
      <family val="2"/>
    </font>
    <font>
      <i/>
      <sz val="11"/>
      <name val="Calibri"/>
      <family val="2"/>
      <scheme val="minor"/>
    </font>
    <font>
      <i/>
      <sz val="11"/>
      <color indexed="56"/>
      <name val="Calibri"/>
      <family val="2"/>
    </font>
    <font>
      <u/>
      <sz val="11"/>
      <color indexed="56"/>
      <name val="Calibri"/>
      <family val="2"/>
    </font>
    <font>
      <sz val="11"/>
      <color theme="8" tint="-0.499984740745262"/>
      <name val="Calibri"/>
      <family val="2"/>
      <scheme val="minor"/>
    </font>
    <font>
      <b/>
      <u/>
      <sz val="12"/>
      <color theme="1"/>
      <name val="Calibri"/>
      <family val="2"/>
      <scheme val="minor"/>
    </font>
    <font>
      <sz val="26"/>
      <color rgb="FFFF0000"/>
      <name val="Arial"/>
      <family val="2"/>
    </font>
    <font>
      <i/>
      <sz val="11"/>
      <color rgb="FFFF0000"/>
      <name val="Calibri"/>
      <family val="2"/>
      <scheme val="minor"/>
    </font>
    <font>
      <vertAlign val="subscript"/>
      <sz val="11"/>
      <color rgb="FF002060"/>
      <name val="Calibri"/>
      <family val="2"/>
      <scheme val="minor"/>
    </font>
    <font>
      <b/>
      <u/>
      <sz val="11"/>
      <color rgb="FF053D5F"/>
      <name val="Calibri"/>
      <family val="2"/>
      <scheme val="minor"/>
    </font>
    <font>
      <b/>
      <vertAlign val="subscript"/>
      <sz val="9.9"/>
      <color indexed="56"/>
      <name val="Calibri"/>
      <family val="2"/>
    </font>
    <font>
      <b/>
      <sz val="11"/>
      <color indexed="56"/>
      <name val="Calibri"/>
      <family val="2"/>
    </font>
    <font>
      <i/>
      <sz val="4"/>
      <color rgb="FF002060"/>
      <name val="Calibri"/>
      <family val="2"/>
      <scheme val="minor"/>
    </font>
    <font>
      <sz val="4"/>
      <color rgb="FF002060"/>
      <name val="Calibri"/>
      <family val="2"/>
      <scheme val="minor"/>
    </font>
    <font>
      <b/>
      <sz val="11"/>
      <color rgb="FF002060"/>
      <name val="Calibri"/>
      <family val="2"/>
      <scheme val="minor"/>
    </font>
    <font>
      <i/>
      <sz val="11"/>
      <color rgb="FF002060"/>
      <name val="Calibri"/>
      <family val="2"/>
      <scheme val="minor"/>
    </font>
    <font>
      <sz val="10"/>
      <color theme="1"/>
      <name val="Calibri"/>
      <family val="2"/>
      <scheme val="minor"/>
    </font>
    <font>
      <b/>
      <i/>
      <sz val="11"/>
      <color indexed="56"/>
      <name val="Calibri"/>
      <family val="2"/>
    </font>
    <font>
      <b/>
      <u/>
      <sz val="11"/>
      <color indexed="56"/>
      <name val="Calibri"/>
      <family val="2"/>
    </font>
    <font>
      <b/>
      <i/>
      <sz val="11"/>
      <color rgb="FF002060"/>
      <name val="Calibri"/>
      <family val="2"/>
      <scheme val="minor"/>
    </font>
    <font>
      <vertAlign val="subscript"/>
      <sz val="11"/>
      <color rgb="FF053D5F"/>
      <name val="Calibri"/>
      <family val="2"/>
      <scheme val="minor"/>
    </font>
    <font>
      <u/>
      <sz val="11"/>
      <color rgb="FF053D5F"/>
      <name val="Calibri"/>
      <family val="2"/>
      <scheme val="minor"/>
    </font>
    <font>
      <b/>
      <vertAlign val="subscript"/>
      <sz val="11"/>
      <color rgb="FF053D5F"/>
      <name val="Calibri"/>
      <family val="2"/>
      <scheme val="minor"/>
    </font>
    <font>
      <sz val="8"/>
      <color indexed="81"/>
      <name val="Tahoma"/>
      <family val="2"/>
    </font>
    <font>
      <b/>
      <u/>
      <sz val="12"/>
      <color rgb="FF002060"/>
      <name val="Calibri"/>
      <family val="2"/>
      <scheme val="minor"/>
    </font>
    <font>
      <vertAlign val="subscript"/>
      <sz val="11"/>
      <color rgb="FF053D5F"/>
      <name val="Calibri"/>
      <family val="2"/>
    </font>
    <font>
      <sz val="11"/>
      <color rgb="FF053D5F"/>
      <name val="Calibri"/>
      <family val="2"/>
    </font>
    <font>
      <u/>
      <sz val="11"/>
      <color rgb="FF0000FF"/>
      <name val="Calibri"/>
      <family val="2"/>
      <scheme val="minor"/>
    </font>
    <font>
      <b/>
      <sz val="8"/>
      <color indexed="81"/>
      <name val="Tahoma"/>
      <family val="2"/>
    </font>
    <font>
      <vertAlign val="subscript"/>
      <sz val="11"/>
      <color theme="8" tint="-0.499984740745262"/>
      <name val="Calibri"/>
      <family val="2"/>
      <scheme val="minor"/>
    </font>
    <font>
      <b/>
      <u/>
      <sz val="12"/>
      <color theme="8" tint="-0.499984740745262"/>
      <name val="Calibri"/>
      <family val="2"/>
      <scheme val="minor"/>
    </font>
    <font>
      <sz val="11"/>
      <color indexed="12"/>
      <name val="Calibri"/>
      <family val="2"/>
    </font>
    <font>
      <sz val="11"/>
      <color theme="1"/>
      <name val="Calibri"/>
      <family val="2"/>
    </font>
    <font>
      <sz val="10"/>
      <color rgb="FF000000"/>
      <name val="Times New Roman"/>
      <family val="1"/>
    </font>
    <font>
      <b/>
      <u/>
      <sz val="7"/>
      <name val="Times New Roman"/>
      <family val="1"/>
    </font>
    <font>
      <sz val="8"/>
      <color rgb="FF000000"/>
      <name val="Times New Roman"/>
      <family val="2"/>
    </font>
    <font>
      <sz val="7.5"/>
      <color rgb="FF000000"/>
      <name val="Times New Roman"/>
      <family val="2"/>
    </font>
    <font>
      <sz val="7"/>
      <name val="Times New Roman"/>
      <family val="1"/>
    </font>
    <font>
      <vertAlign val="superscript"/>
      <sz val="7"/>
      <name val="Times New Roman"/>
      <family val="1"/>
    </font>
    <font>
      <sz val="6"/>
      <name val="Times New Roman"/>
      <family val="1"/>
    </font>
    <font>
      <b/>
      <sz val="10"/>
      <name val="Times New Roman"/>
      <family val="1"/>
    </font>
    <font>
      <u/>
      <sz val="11"/>
      <color theme="10"/>
      <name val="Calibri"/>
      <family val="2"/>
    </font>
    <font>
      <sz val="11"/>
      <color rgb="FFFF0000"/>
      <name val="Calibri"/>
      <family val="2"/>
      <scheme val="minor"/>
    </font>
    <font>
      <b/>
      <sz val="11"/>
      <color rgb="FFFF0000"/>
      <name val="Calibri"/>
      <family val="2"/>
      <scheme val="minor"/>
    </font>
    <font>
      <u/>
      <sz val="10"/>
      <color rgb="FF0000FF"/>
      <name val="Arial"/>
      <family val="2"/>
    </font>
    <font>
      <u/>
      <sz val="11"/>
      <color rgb="FF0000FF"/>
      <name val="Calibri"/>
      <family val="2"/>
    </font>
    <font>
      <u/>
      <sz val="11"/>
      <color rgb="FF053D5F"/>
      <name val="Calibri"/>
      <family val="2"/>
    </font>
    <font>
      <b/>
      <sz val="10"/>
      <color theme="1"/>
      <name val="Arial"/>
      <family val="2"/>
    </font>
    <font>
      <u/>
      <sz val="11"/>
      <color theme="0"/>
      <name val="Calibri"/>
      <family val="2"/>
    </font>
    <font>
      <u/>
      <sz val="11"/>
      <color theme="1"/>
      <name val="Calibri"/>
      <family val="2"/>
    </font>
  </fonts>
  <fills count="30">
    <fill>
      <patternFill patternType="none"/>
    </fill>
    <fill>
      <patternFill patternType="gray125"/>
    </fill>
    <fill>
      <patternFill patternType="solid">
        <fgColor rgb="FF0070C0"/>
        <bgColor rgb="FF0070C0"/>
      </patternFill>
    </fill>
    <fill>
      <patternFill patternType="solid">
        <fgColor theme="7" tint="0.59999389629810485"/>
        <bgColor indexed="64"/>
      </patternFill>
    </fill>
    <fill>
      <patternFill patternType="solid">
        <fgColor theme="7" tint="0.79998168889431442"/>
        <bgColor indexed="64"/>
      </patternFill>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theme="9" tint="0.39997558519241921"/>
        <bgColor indexed="64"/>
      </patternFill>
    </fill>
    <fill>
      <patternFill patternType="solid">
        <fgColor rgb="FF0070C0"/>
        <bgColor indexed="64"/>
      </patternFill>
    </fill>
    <fill>
      <patternFill patternType="solid">
        <fgColor theme="6"/>
        <bgColor rgb="FF0070C0"/>
      </patternFill>
    </fill>
    <fill>
      <patternFill patternType="solid">
        <fgColor theme="5"/>
        <bgColor rgb="FF0070C0"/>
      </patternFill>
    </fill>
    <fill>
      <patternFill patternType="solid">
        <fgColor theme="7"/>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rgb="FF1F4E78"/>
        <bgColor rgb="FF000000"/>
      </patternFill>
    </fill>
    <fill>
      <patternFill patternType="solid">
        <fgColor theme="0" tint="-4.9989318521683403E-2"/>
        <bgColor indexed="64"/>
      </patternFill>
    </fill>
    <fill>
      <patternFill patternType="solid">
        <fgColor rgb="FFD9D9D9"/>
        <bgColor indexed="64"/>
      </patternFill>
    </fill>
    <fill>
      <patternFill patternType="lightGray">
        <bgColor theme="0"/>
      </patternFill>
    </fill>
    <fill>
      <patternFill patternType="solid">
        <fgColor rgb="FFB1A0C7"/>
        <bgColor rgb="FF000000"/>
      </patternFill>
    </fill>
    <fill>
      <patternFill patternType="solid">
        <fgColor rgb="FFF2DCDB"/>
        <bgColor rgb="FF000000"/>
      </patternFill>
    </fill>
    <fill>
      <patternFill patternType="solid">
        <fgColor theme="9"/>
        <bgColor indexed="64"/>
      </patternFill>
    </fill>
    <fill>
      <patternFill patternType="solid">
        <fgColor theme="9" tint="0.79998168889431442"/>
        <bgColor indexed="64"/>
      </patternFill>
    </fill>
    <fill>
      <patternFill patternType="solid">
        <fgColor rgb="FF00945E"/>
        <bgColor indexed="64"/>
      </patternFill>
    </fill>
    <fill>
      <patternFill patternType="solid">
        <fgColor theme="4"/>
        <bgColor indexed="64"/>
      </patternFill>
    </fill>
    <fill>
      <patternFill patternType="solid">
        <fgColor theme="4" tint="0.79998168889431442"/>
        <bgColor indexed="64"/>
      </patternFill>
    </fill>
    <fill>
      <patternFill patternType="solid">
        <fgColor theme="6"/>
        <bgColor indexed="64"/>
      </patternFill>
    </fill>
    <fill>
      <patternFill patternType="solid">
        <fgColor theme="6" tint="0.7999816888943144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rgb="FF000000"/>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053D5F"/>
      </left>
      <right style="thin">
        <color rgb="FF053D5F"/>
      </right>
      <top style="thin">
        <color rgb="FF053D5F"/>
      </top>
      <bottom style="thin">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style="thin">
        <color rgb="FF053D5F"/>
      </left>
      <right/>
      <top style="thin">
        <color rgb="FF053D5F"/>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right style="thin">
        <color rgb="FF053D5F"/>
      </right>
      <top style="thin">
        <color indexed="64"/>
      </top>
      <bottom style="thin">
        <color rgb="FF053D5F"/>
      </bottom>
      <diagonal/>
    </border>
    <border>
      <left style="thin">
        <color rgb="FF053D5F"/>
      </left>
      <right/>
      <top style="thin">
        <color indexed="64"/>
      </top>
      <bottom style="thin">
        <color rgb="FF053D5F"/>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top style="thin">
        <color rgb="FF053D5F"/>
      </top>
      <bottom style="thin">
        <color indexed="64"/>
      </bottom>
      <diagonal/>
    </border>
    <border>
      <left style="thin">
        <color rgb="FF053D5F"/>
      </left>
      <right style="thin">
        <color rgb="FF053D5F"/>
      </right>
      <top style="thin">
        <color rgb="FF053D5F"/>
      </top>
      <bottom style="thin">
        <color rgb="FF002060"/>
      </bottom>
      <diagonal/>
    </border>
    <border>
      <left/>
      <right/>
      <top style="double">
        <color rgb="FF053D5F"/>
      </top>
      <bottom/>
      <diagonal/>
    </border>
    <border>
      <left/>
      <right/>
      <top style="medium">
        <color rgb="FF000000"/>
      </top>
      <bottom/>
      <diagonal/>
    </border>
  </borders>
  <cellStyleXfs count="15">
    <xf numFmtId="0" fontId="0" fillId="0" borderId="0"/>
    <xf numFmtId="9" fontId="5" fillId="0" borderId="0" applyFont="0" applyFill="0" applyBorder="0" applyAlignment="0" applyProtection="0"/>
    <xf numFmtId="0" fontId="11" fillId="0" borderId="0"/>
    <xf numFmtId="0" fontId="29" fillId="0" borderId="0"/>
    <xf numFmtId="0" fontId="30" fillId="0" borderId="0"/>
    <xf numFmtId="0" fontId="3" fillId="0" borderId="0"/>
    <xf numFmtId="0" fontId="32" fillId="0" borderId="0" applyNumberFormat="0" applyFill="0" applyBorder="0" applyAlignment="0" applyProtection="0">
      <alignment vertical="top"/>
      <protection locked="0"/>
    </xf>
    <xf numFmtId="167" fontId="3" fillId="0" borderId="0" applyFont="0" applyFill="0" applyBorder="0" applyAlignment="0" applyProtection="0"/>
    <xf numFmtId="168" fontId="3" fillId="0" borderId="0" applyFont="0" applyFill="0" applyBorder="0" applyAlignment="0" applyProtection="0"/>
    <xf numFmtId="0" fontId="44" fillId="0" borderId="0"/>
    <xf numFmtId="0" fontId="48" fillId="0" borderId="0" applyNumberFormat="0" applyFill="0" applyBorder="0" applyAlignment="0" applyProtection="0">
      <alignment vertical="top"/>
      <protection locked="0"/>
    </xf>
    <xf numFmtId="164" fontId="44" fillId="0" borderId="0" applyFont="0" applyFill="0" applyBorder="0" applyAlignment="0" applyProtection="0"/>
    <xf numFmtId="0" fontId="2" fillId="0" borderId="0"/>
    <xf numFmtId="0" fontId="110" fillId="0" borderId="0"/>
    <xf numFmtId="0" fontId="118" fillId="0" borderId="0" applyNumberFormat="0" applyFill="0" applyBorder="0" applyAlignment="0" applyProtection="0"/>
  </cellStyleXfs>
  <cellXfs count="787">
    <xf numFmtId="0" fontId="0" fillId="0" borderId="0" xfId="0"/>
    <xf numFmtId="0" fontId="9" fillId="0" borderId="0" xfId="0" applyFont="1"/>
    <xf numFmtId="0" fontId="10" fillId="0" borderId="0" xfId="0" applyFont="1"/>
    <xf numFmtId="0" fontId="11" fillId="0" borderId="0" xfId="2" applyAlignment="1">
      <alignment horizontal="left" vertical="top"/>
    </xf>
    <xf numFmtId="0" fontId="14" fillId="4" borderId="1" xfId="2" applyFont="1" applyFill="1" applyBorder="1" applyAlignment="1">
      <alignment horizontal="center" vertical="center" wrapText="1"/>
    </xf>
    <xf numFmtId="0" fontId="14" fillId="0" borderId="1" xfId="2" applyFont="1" applyBorder="1" applyAlignment="1">
      <alignment horizontal="center" vertical="center" wrapText="1"/>
    </xf>
    <xf numFmtId="0" fontId="14" fillId="4" borderId="3" xfId="2" applyFont="1" applyFill="1" applyBorder="1" applyAlignment="1">
      <alignment horizontal="center" vertical="center" wrapText="1"/>
    </xf>
    <xf numFmtId="0" fontId="19" fillId="0" borderId="3" xfId="2" applyFont="1" applyBorder="1" applyAlignment="1">
      <alignment horizontal="left" vertical="center" wrapText="1"/>
    </xf>
    <xf numFmtId="0" fontId="19" fillId="0" borderId="5" xfId="2" applyFont="1" applyBorder="1" applyAlignment="1">
      <alignment horizontal="left" vertical="center" wrapText="1"/>
    </xf>
    <xf numFmtId="3" fontId="21" fillId="4" borderId="1" xfId="2" applyNumberFormat="1" applyFont="1" applyFill="1" applyBorder="1" applyAlignment="1">
      <alignment horizontal="center" vertical="center" shrinkToFit="1"/>
    </xf>
    <xf numFmtId="3" fontId="21" fillId="0" borderId="1" xfId="2" applyNumberFormat="1" applyFont="1" applyBorder="1" applyAlignment="1">
      <alignment horizontal="center" vertical="center" shrinkToFit="1"/>
    </xf>
    <xf numFmtId="1" fontId="21" fillId="4" borderId="3" xfId="2" applyNumberFormat="1" applyFont="1" applyFill="1" applyBorder="1" applyAlignment="1">
      <alignment horizontal="center" vertical="center" shrinkToFit="1"/>
    </xf>
    <xf numFmtId="1" fontId="21" fillId="0" borderId="1" xfId="2" applyNumberFormat="1" applyFont="1" applyBorder="1" applyAlignment="1">
      <alignment horizontal="center" vertical="center" shrinkToFit="1"/>
    </xf>
    <xf numFmtId="165" fontId="21" fillId="4" borderId="3" xfId="2" applyNumberFormat="1" applyFont="1" applyFill="1" applyBorder="1" applyAlignment="1">
      <alignment horizontal="center" vertical="center" shrinkToFit="1"/>
    </xf>
    <xf numFmtId="165" fontId="21" fillId="0" borderId="1" xfId="2" applyNumberFormat="1" applyFont="1" applyBorder="1" applyAlignment="1">
      <alignment horizontal="center" vertical="center" shrinkToFit="1"/>
    </xf>
    <xf numFmtId="3" fontId="19" fillId="4" borderId="1" xfId="2" applyNumberFormat="1" applyFont="1" applyFill="1" applyBorder="1" applyAlignment="1">
      <alignment horizontal="center" vertical="center" wrapText="1"/>
    </xf>
    <xf numFmtId="3" fontId="11" fillId="0" borderId="0" xfId="2" applyNumberFormat="1" applyAlignment="1">
      <alignment horizontal="left" vertical="top"/>
    </xf>
    <xf numFmtId="3" fontId="21" fillId="4" borderId="1" xfId="2" applyNumberFormat="1" applyFont="1" applyFill="1" applyBorder="1" applyAlignment="1">
      <alignment horizontal="center" vertical="center" wrapText="1"/>
    </xf>
    <xf numFmtId="0" fontId="19" fillId="4" borderId="1" xfId="2" applyFont="1" applyFill="1" applyBorder="1" applyAlignment="1">
      <alignment horizontal="left" vertical="center" wrapText="1"/>
    </xf>
    <xf numFmtId="0" fontId="20" fillId="0" borderId="1" xfId="2" applyFont="1" applyBorder="1" applyAlignment="1">
      <alignment horizontal="left" vertical="center" wrapText="1"/>
    </xf>
    <xf numFmtId="0" fontId="19" fillId="0" borderId="1" xfId="2" applyFont="1" applyBorder="1" applyAlignment="1">
      <alignment horizontal="left" vertical="center" wrapText="1"/>
    </xf>
    <xf numFmtId="2" fontId="21" fillId="0" borderId="1" xfId="2" applyNumberFormat="1" applyFont="1" applyBorder="1" applyAlignment="1">
      <alignment horizontal="center" vertical="center" shrinkToFit="1"/>
    </xf>
    <xf numFmtId="0" fontId="20" fillId="0" borderId="1" xfId="2" applyFont="1" applyBorder="1" applyAlignment="1">
      <alignment horizontal="center" vertical="center" wrapText="1"/>
    </xf>
    <xf numFmtId="0" fontId="19" fillId="0" borderId="2" xfId="2" applyFont="1" applyBorder="1" applyAlignment="1">
      <alignment horizontal="left" vertical="center" wrapText="1"/>
    </xf>
    <xf numFmtId="0" fontId="19" fillId="0" borderId="11" xfId="2" applyFont="1" applyBorder="1" applyAlignment="1">
      <alignment horizontal="left" vertical="center" wrapText="1"/>
    </xf>
    <xf numFmtId="0" fontId="21" fillId="4" borderId="3" xfId="2" applyFont="1" applyFill="1" applyBorder="1" applyAlignment="1">
      <alignment horizontal="center" vertical="center" wrapText="1"/>
    </xf>
    <xf numFmtId="3" fontId="21" fillId="4" borderId="1" xfId="2" applyNumberFormat="1" applyFont="1" applyFill="1" applyBorder="1" applyAlignment="1">
      <alignment horizontal="center" vertical="top" wrapText="1"/>
    </xf>
    <xf numFmtId="3" fontId="21" fillId="0" borderId="1" xfId="2" applyNumberFormat="1" applyFont="1" applyBorder="1" applyAlignment="1">
      <alignment horizontal="center" vertical="top" shrinkToFit="1"/>
    </xf>
    <xf numFmtId="0" fontId="21" fillId="4" borderId="3" xfId="2" applyFont="1" applyFill="1" applyBorder="1" applyAlignment="1">
      <alignment horizontal="center" vertical="top" wrapText="1"/>
    </xf>
    <xf numFmtId="1" fontId="21" fillId="0" borderId="1" xfId="2" applyNumberFormat="1" applyFont="1" applyBorder="1" applyAlignment="1">
      <alignment horizontal="center" vertical="top" shrinkToFit="1"/>
    </xf>
    <xf numFmtId="165" fontId="21" fillId="0" borderId="1" xfId="2" applyNumberFormat="1" applyFont="1" applyBorder="1" applyAlignment="1">
      <alignment horizontal="center" vertical="top" shrinkToFit="1"/>
    </xf>
    <xf numFmtId="0" fontId="19" fillId="3" borderId="1" xfId="2" applyFont="1" applyFill="1" applyBorder="1" applyAlignment="1">
      <alignment horizontal="left" vertical="top" wrapText="1"/>
    </xf>
    <xf numFmtId="0" fontId="19" fillId="0" borderId="1" xfId="2" applyFont="1" applyBorder="1" applyAlignment="1">
      <alignment horizontal="left" vertical="top" wrapText="1"/>
    </xf>
    <xf numFmtId="1" fontId="21" fillId="4" borderId="3" xfId="2" applyNumberFormat="1" applyFont="1" applyFill="1" applyBorder="1" applyAlignment="1">
      <alignment horizontal="center" vertical="top" shrinkToFit="1"/>
    </xf>
    <xf numFmtId="165" fontId="21" fillId="4" borderId="3" xfId="2" applyNumberFormat="1" applyFont="1" applyFill="1" applyBorder="1" applyAlignment="1">
      <alignment horizontal="center" vertical="top" shrinkToFit="1"/>
    </xf>
    <xf numFmtId="2" fontId="21" fillId="0" borderId="1" xfId="2" applyNumberFormat="1" applyFont="1" applyBorder="1" applyAlignment="1">
      <alignment horizontal="center" vertical="top" shrinkToFit="1"/>
    </xf>
    <xf numFmtId="3" fontId="21" fillId="4" borderId="1" xfId="2" applyNumberFormat="1" applyFont="1" applyFill="1" applyBorder="1" applyAlignment="1">
      <alignment horizontal="center" vertical="top" shrinkToFit="1"/>
    </xf>
    <xf numFmtId="0" fontId="19" fillId="0" borderId="1" xfId="2" applyFont="1" applyBorder="1" applyAlignment="1">
      <alignment horizontal="center" vertical="top" wrapText="1"/>
    </xf>
    <xf numFmtId="0" fontId="19" fillId="0" borderId="1" xfId="2" applyFont="1" applyBorder="1" applyAlignment="1">
      <alignment horizontal="left" textRotation="90" wrapText="1"/>
    </xf>
    <xf numFmtId="0" fontId="20" fillId="0" borderId="1" xfId="2" applyFont="1" applyBorder="1" applyAlignment="1">
      <alignment horizontal="center" vertical="center" textRotation="90" wrapText="1"/>
    </xf>
    <xf numFmtId="0" fontId="29" fillId="5" borderId="0" xfId="3" applyFill="1"/>
    <xf numFmtId="0" fontId="29" fillId="6" borderId="0" xfId="3" applyFill="1"/>
    <xf numFmtId="0" fontId="30" fillId="5" borderId="0" xfId="4" applyFill="1" applyAlignment="1">
      <alignment vertical="center"/>
    </xf>
    <xf numFmtId="0" fontId="31" fillId="7" borderId="0" xfId="5" applyFont="1" applyFill="1"/>
    <xf numFmtId="0" fontId="29" fillId="6" borderId="0" xfId="3" applyFill="1" applyAlignment="1">
      <alignment vertical="center"/>
    </xf>
    <xf numFmtId="0" fontId="29" fillId="5" borderId="0" xfId="3" applyFill="1" applyAlignment="1">
      <alignment vertical="center"/>
    </xf>
    <xf numFmtId="0" fontId="33" fillId="5" borderId="0" xfId="6" applyFont="1" applyFill="1" applyAlignment="1" applyProtection="1">
      <alignment vertical="center"/>
    </xf>
    <xf numFmtId="0" fontId="35" fillId="7" borderId="0" xfId="4" applyFont="1" applyFill="1" applyAlignment="1">
      <alignment horizontal="center" vertical="center"/>
    </xf>
    <xf numFmtId="166" fontId="35" fillId="7" borderId="0" xfId="4" applyNumberFormat="1" applyFont="1" applyFill="1" applyAlignment="1">
      <alignment horizontal="center" vertical="center"/>
    </xf>
    <xf numFmtId="3" fontId="35" fillId="7" borderId="0" xfId="4" applyNumberFormat="1" applyFont="1" applyFill="1" applyAlignment="1">
      <alignment horizontal="center" vertical="center"/>
    </xf>
    <xf numFmtId="0" fontId="29" fillId="7" borderId="0" xfId="3" applyFill="1" applyAlignment="1">
      <alignment vertical="center"/>
    </xf>
    <xf numFmtId="166" fontId="29" fillId="7" borderId="0" xfId="3" applyNumberFormat="1" applyFill="1" applyAlignment="1">
      <alignment vertical="center"/>
    </xf>
    <xf numFmtId="0" fontId="36" fillId="7" borderId="0" xfId="4" applyFont="1" applyFill="1" applyAlignment="1">
      <alignment horizontal="right" vertical="center" indent="1"/>
    </xf>
    <xf numFmtId="0" fontId="29" fillId="7" borderId="0" xfId="4" applyFont="1" applyFill="1" applyAlignment="1">
      <alignment vertical="center"/>
    </xf>
    <xf numFmtId="0" fontId="29" fillId="7" borderId="0" xfId="4" applyFont="1" applyFill="1" applyAlignment="1">
      <alignment horizontal="right" vertical="center" indent="1"/>
    </xf>
    <xf numFmtId="3" fontId="29" fillId="7" borderId="0" xfId="4" applyNumberFormat="1" applyFont="1" applyFill="1" applyAlignment="1">
      <alignment horizontal="right" vertical="center" indent="1"/>
    </xf>
    <xf numFmtId="0" fontId="37" fillId="7" borderId="0" xfId="5" applyFont="1" applyFill="1"/>
    <xf numFmtId="0" fontId="35" fillId="7" borderId="0" xfId="4" applyFont="1" applyFill="1" applyAlignment="1">
      <alignment vertical="center"/>
    </xf>
    <xf numFmtId="0" fontId="30" fillId="5" borderId="0" xfId="4" applyFill="1"/>
    <xf numFmtId="0" fontId="30" fillId="7" borderId="0" xfId="4" applyFill="1"/>
    <xf numFmtId="0" fontId="29" fillId="7" borderId="0" xfId="3" applyFill="1"/>
    <xf numFmtId="167" fontId="6" fillId="9" borderId="14" xfId="7" applyFont="1" applyFill="1" applyBorder="1" applyAlignment="1">
      <alignment horizontal="center" vertical="center"/>
    </xf>
    <xf numFmtId="3" fontId="38" fillId="0" borderId="13" xfId="3" applyNumberFormat="1" applyFont="1" applyBorder="1" applyAlignment="1">
      <alignment horizontal="center" vertical="center"/>
    </xf>
    <xf numFmtId="168" fontId="38" fillId="0" borderId="13" xfId="8" applyFont="1" applyFill="1" applyBorder="1" applyAlignment="1">
      <alignment horizontal="center"/>
    </xf>
    <xf numFmtId="0" fontId="7" fillId="0" borderId="13" xfId="0" applyFont="1" applyBorder="1" applyAlignment="1">
      <alignment horizontal="center" vertical="center"/>
    </xf>
    <xf numFmtId="0" fontId="38" fillId="0" borderId="13" xfId="0" applyFont="1" applyBorder="1" applyAlignment="1">
      <alignment horizontal="center" vertical="center"/>
    </xf>
    <xf numFmtId="0" fontId="38" fillId="0" borderId="13" xfId="0" applyFont="1" applyBorder="1" applyAlignment="1">
      <alignment horizontal="center" wrapText="1"/>
    </xf>
    <xf numFmtId="9" fontId="38" fillId="0" borderId="13" xfId="1" applyFont="1" applyBorder="1" applyAlignment="1">
      <alignment horizontal="center"/>
    </xf>
    <xf numFmtId="0" fontId="38" fillId="0" borderId="15" xfId="0" applyFont="1" applyBorder="1" applyAlignment="1">
      <alignment horizontal="center"/>
    </xf>
    <xf numFmtId="170" fontId="38" fillId="0" borderId="15" xfId="8" applyNumberFormat="1" applyFont="1" applyFill="1" applyBorder="1" applyAlignment="1">
      <alignment horizontal="center"/>
    </xf>
    <xf numFmtId="0" fontId="0" fillId="0" borderId="13" xfId="0" applyBorder="1" applyAlignment="1">
      <alignment horizontal="center"/>
    </xf>
    <xf numFmtId="0" fontId="8" fillId="2" borderId="13" xfId="0" applyFont="1" applyFill="1" applyBorder="1" applyAlignment="1">
      <alignment horizontal="center" vertical="center" wrapText="1"/>
    </xf>
    <xf numFmtId="0" fontId="0" fillId="0" borderId="13" xfId="0" applyBorder="1"/>
    <xf numFmtId="3" fontId="0" fillId="0" borderId="13" xfId="0" applyNumberFormat="1" applyBorder="1"/>
    <xf numFmtId="0" fontId="8" fillId="10" borderId="13" xfId="0" applyFont="1" applyFill="1" applyBorder="1" applyAlignment="1">
      <alignment horizontal="center" vertical="center" wrapText="1"/>
    </xf>
    <xf numFmtId="0" fontId="8" fillId="11" borderId="13" xfId="0" applyFont="1" applyFill="1" applyBorder="1" applyAlignment="1">
      <alignment horizontal="center" vertical="center" wrapText="1"/>
    </xf>
    <xf numFmtId="2" fontId="0" fillId="0" borderId="13" xfId="0" applyNumberFormat="1" applyBorder="1"/>
    <xf numFmtId="0" fontId="19" fillId="3" borderId="1" xfId="2" applyFont="1" applyFill="1" applyBorder="1" applyAlignment="1">
      <alignment horizontal="left" vertical="center" wrapText="1"/>
    </xf>
    <xf numFmtId="0" fontId="0" fillId="0" borderId="0" xfId="0" applyAlignment="1">
      <alignment vertical="center"/>
    </xf>
    <xf numFmtId="0" fontId="0" fillId="0" borderId="1" xfId="0" applyBorder="1"/>
    <xf numFmtId="0" fontId="0" fillId="0" borderId="1" xfId="0" applyBorder="1" applyAlignment="1">
      <alignment horizontal="right"/>
    </xf>
    <xf numFmtId="0" fontId="0" fillId="0" borderId="1" xfId="0" applyBorder="1" applyAlignment="1">
      <alignment vertical="center" wrapText="1"/>
    </xf>
    <xf numFmtId="0" fontId="0" fillId="0" borderId="3" xfId="0" applyBorder="1"/>
    <xf numFmtId="0" fontId="0" fillId="0" borderId="3" xfId="0" applyBorder="1" applyAlignment="1">
      <alignment horizontal="right"/>
    </xf>
    <xf numFmtId="0" fontId="0" fillId="0" borderId="3" xfId="0" applyBorder="1" applyAlignment="1">
      <alignment horizontal="right" wrapText="1"/>
    </xf>
    <xf numFmtId="0" fontId="0" fillId="0" borderId="2" xfId="0" applyBorder="1"/>
    <xf numFmtId="173" fontId="0" fillId="0" borderId="1" xfId="0" applyNumberFormat="1" applyBorder="1"/>
    <xf numFmtId="174" fontId="0" fillId="0" borderId="1" xfId="0" applyNumberFormat="1" applyBorder="1"/>
    <xf numFmtId="0" fontId="0" fillId="4" borderId="2" xfId="0" applyFill="1" applyBorder="1"/>
    <xf numFmtId="174" fontId="0" fillId="4" borderId="1" xfId="0" applyNumberFormat="1" applyFill="1" applyBorder="1"/>
    <xf numFmtId="0" fontId="0" fillId="4" borderId="6" xfId="0" applyFill="1" applyBorder="1"/>
    <xf numFmtId="173" fontId="0" fillId="4" borderId="1" xfId="0" applyNumberFormat="1" applyFill="1" applyBorder="1"/>
    <xf numFmtId="0" fontId="0" fillId="4" borderId="1" xfId="0" applyFill="1" applyBorder="1"/>
    <xf numFmtId="0" fontId="0" fillId="4" borderId="3" xfId="0" applyFill="1" applyBorder="1"/>
    <xf numFmtId="0" fontId="39" fillId="0" borderId="0" xfId="0" applyFont="1"/>
    <xf numFmtId="165" fontId="0" fillId="0" borderId="13" xfId="0" applyNumberFormat="1" applyBorder="1"/>
    <xf numFmtId="0" fontId="0" fillId="0" borderId="16" xfId="0" applyBorder="1"/>
    <xf numFmtId="0" fontId="8" fillId="10" borderId="14"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0" fillId="0" borderId="14" xfId="0" applyBorder="1"/>
    <xf numFmtId="0" fontId="0" fillId="4" borderId="3" xfId="0" applyFill="1" applyBorder="1" applyAlignment="1">
      <alignment horizontal="right"/>
    </xf>
    <xf numFmtId="169" fontId="0" fillId="13" borderId="13" xfId="0" applyNumberFormat="1" applyFill="1" applyBorder="1"/>
    <xf numFmtId="43" fontId="0" fillId="13" borderId="13" xfId="0" applyNumberFormat="1" applyFill="1" applyBorder="1"/>
    <xf numFmtId="171" fontId="0" fillId="13" borderId="13" xfId="0" applyNumberFormat="1" applyFill="1" applyBorder="1"/>
    <xf numFmtId="0" fontId="0" fillId="13" borderId="13" xfId="0" applyFill="1" applyBorder="1" applyAlignment="1">
      <alignment horizontal="center"/>
    </xf>
    <xf numFmtId="165" fontId="0" fillId="0" borderId="1" xfId="0" applyNumberFormat="1" applyBorder="1"/>
    <xf numFmtId="3" fontId="0" fillId="0" borderId="1" xfId="0" applyNumberFormat="1" applyBorder="1"/>
    <xf numFmtId="164" fontId="41" fillId="12" borderId="13" xfId="0" applyNumberFormat="1" applyFont="1" applyFill="1" applyBorder="1"/>
    <xf numFmtId="0" fontId="0" fillId="13" borderId="13" xfId="0" applyFill="1" applyBorder="1"/>
    <xf numFmtId="0" fontId="0" fillId="0" borderId="1" xfId="0" applyBorder="1" applyAlignment="1">
      <alignment horizontal="center" vertical="center" wrapText="1"/>
    </xf>
    <xf numFmtId="0" fontId="0" fillId="0" borderId="1" xfId="0" applyBorder="1" applyAlignment="1">
      <alignment wrapText="1"/>
    </xf>
    <xf numFmtId="41" fontId="0" fillId="0" borderId="17" xfId="0" applyNumberFormat="1" applyBorder="1"/>
    <xf numFmtId="41" fontId="0" fillId="0" borderId="5" xfId="0" applyNumberFormat="1" applyBorder="1"/>
    <xf numFmtId="0" fontId="8" fillId="2" borderId="1" xfId="0" applyFont="1" applyFill="1" applyBorder="1" applyAlignment="1">
      <alignment horizontal="center" vertical="center" wrapText="1"/>
    </xf>
    <xf numFmtId="0" fontId="0" fillId="13" borderId="1" xfId="0" applyFill="1" applyBorder="1"/>
    <xf numFmtId="43" fontId="0" fillId="13" borderId="1" xfId="0" applyNumberFormat="1" applyFill="1" applyBorder="1"/>
    <xf numFmtId="43" fontId="0" fillId="13" borderId="13" xfId="0" applyNumberFormat="1" applyFill="1" applyBorder="1" applyAlignment="1">
      <alignment wrapText="1"/>
    </xf>
    <xf numFmtId="0" fontId="0" fillId="13" borderId="16" xfId="0" applyFill="1" applyBorder="1" applyAlignment="1">
      <alignment horizontal="center"/>
    </xf>
    <xf numFmtId="3" fontId="0" fillId="4" borderId="1" xfId="0" applyNumberFormat="1" applyFill="1" applyBorder="1"/>
    <xf numFmtId="9" fontId="0" fillId="0" borderId="1" xfId="0" applyNumberFormat="1" applyBorder="1" applyAlignment="1">
      <alignment horizontal="center"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xf>
    <xf numFmtId="172" fontId="0" fillId="13" borderId="13" xfId="0" applyNumberFormat="1" applyFill="1" applyBorder="1"/>
    <xf numFmtId="175" fontId="41" fillId="12" borderId="13" xfId="0" applyNumberFormat="1" applyFont="1" applyFill="1" applyBorder="1"/>
    <xf numFmtId="41" fontId="0" fillId="0" borderId="0" xfId="0" applyNumberFormat="1"/>
    <xf numFmtId="165" fontId="0" fillId="0" borderId="0" xfId="0" applyNumberFormat="1"/>
    <xf numFmtId="3" fontId="0" fillId="0" borderId="0" xfId="0" applyNumberFormat="1"/>
    <xf numFmtId="169" fontId="0" fillId="0" borderId="0" xfId="0" applyNumberFormat="1"/>
    <xf numFmtId="43" fontId="0" fillId="0" borderId="0" xfId="0" applyNumberFormat="1"/>
    <xf numFmtId="171" fontId="0" fillId="0" borderId="0" xfId="0" applyNumberFormat="1"/>
    <xf numFmtId="0" fontId="0" fillId="0" borderId="0" xfId="0" applyAlignment="1">
      <alignment horizontal="center"/>
    </xf>
    <xf numFmtId="172" fontId="0" fillId="0" borderId="0" xfId="0" applyNumberFormat="1"/>
    <xf numFmtId="0" fontId="0" fillId="0" borderId="1" xfId="0" applyBorder="1" applyAlignment="1">
      <alignment horizontal="center"/>
    </xf>
    <xf numFmtId="169" fontId="0" fillId="13" borderId="1" xfId="0" applyNumberFormat="1" applyFill="1" applyBorder="1"/>
    <xf numFmtId="0" fontId="0" fillId="13" borderId="1" xfId="0" applyFill="1" applyBorder="1" applyAlignment="1">
      <alignment horizontal="center"/>
    </xf>
    <xf numFmtId="165" fontId="41" fillId="12" borderId="1" xfId="0" applyNumberFormat="1" applyFont="1" applyFill="1" applyBorder="1"/>
    <xf numFmtId="169" fontId="0" fillId="13" borderId="14" xfId="0" applyNumberFormat="1" applyFill="1" applyBorder="1"/>
    <xf numFmtId="43" fontId="0" fillId="13" borderId="14" xfId="0" applyNumberFormat="1" applyFill="1" applyBorder="1"/>
    <xf numFmtId="0" fontId="0" fillId="13" borderId="20" xfId="0" applyFill="1" applyBorder="1" applyAlignment="1">
      <alignment horizontal="center"/>
    </xf>
    <xf numFmtId="43" fontId="0" fillId="13" borderId="2" xfId="0" applyNumberFormat="1" applyFill="1" applyBorder="1"/>
    <xf numFmtId="0" fontId="0" fillId="13" borderId="2" xfId="0" applyFill="1" applyBorder="1"/>
    <xf numFmtId="0" fontId="0" fillId="0" borderId="1" xfId="0" applyBorder="1" applyAlignment="1">
      <alignment vertical="center"/>
    </xf>
    <xf numFmtId="0" fontId="9" fillId="14" borderId="3" xfId="0" applyFont="1" applyFill="1" applyBorder="1"/>
    <xf numFmtId="0" fontId="9" fillId="14" borderId="4" xfId="0" applyFont="1" applyFill="1" applyBorder="1"/>
    <xf numFmtId="0" fontId="9" fillId="14" borderId="5" xfId="0" applyFont="1" applyFill="1" applyBorder="1"/>
    <xf numFmtId="0" fontId="9" fillId="14" borderId="14" xfId="0" applyFont="1" applyFill="1" applyBorder="1" applyAlignment="1">
      <alignment vertical="center" wrapText="1"/>
    </xf>
    <xf numFmtId="0" fontId="9" fillId="14" borderId="1" xfId="0" applyFont="1" applyFill="1" applyBorder="1" applyAlignment="1">
      <alignment vertical="center" wrapText="1"/>
    </xf>
    <xf numFmtId="0" fontId="9" fillId="14" borderId="24" xfId="0" applyFont="1" applyFill="1" applyBorder="1" applyAlignment="1">
      <alignment vertical="center" wrapText="1"/>
    </xf>
    <xf numFmtId="0" fontId="0" fillId="0" borderId="0" xfId="0" applyAlignment="1">
      <alignment horizontal="center" vertical="center" wrapText="1"/>
    </xf>
    <xf numFmtId="9" fontId="0" fillId="0" borderId="1" xfId="0" applyNumberFormat="1" applyBorder="1" applyAlignment="1">
      <alignment horizontal="center" vertical="center"/>
    </xf>
    <xf numFmtId="0" fontId="42" fillId="0" borderId="0" xfId="0" applyFont="1" applyAlignment="1">
      <alignment vertical="center"/>
    </xf>
    <xf numFmtId="3" fontId="0" fillId="13" borderId="1" xfId="0" applyNumberFormat="1" applyFill="1" applyBorder="1" applyAlignment="1">
      <alignment horizontal="center" vertical="center"/>
    </xf>
    <xf numFmtId="0" fontId="42" fillId="0" borderId="0" xfId="0" applyFont="1"/>
    <xf numFmtId="0" fontId="0" fillId="0" borderId="1" xfId="0" applyBorder="1" applyAlignment="1">
      <alignment horizontal="left"/>
    </xf>
    <xf numFmtId="0" fontId="43" fillId="0" borderId="0" xfId="0" applyFont="1"/>
    <xf numFmtId="0" fontId="0" fillId="0" borderId="0" xfId="0" applyAlignment="1">
      <alignment horizontal="center" vertical="center"/>
    </xf>
    <xf numFmtId="0" fontId="9" fillId="0" borderId="13" xfId="0" applyFont="1" applyBorder="1" applyAlignment="1">
      <alignment horizontal="center" vertical="center"/>
    </xf>
    <xf numFmtId="0" fontId="0" fillId="0" borderId="0" xfId="0" applyAlignment="1">
      <alignment wrapText="1"/>
    </xf>
    <xf numFmtId="0" fontId="38" fillId="0" borderId="0" xfId="0" applyFont="1" applyAlignment="1">
      <alignment horizontal="center"/>
    </xf>
    <xf numFmtId="170" fontId="38" fillId="0" borderId="0" xfId="8" applyNumberFormat="1" applyFont="1" applyFill="1" applyBorder="1" applyAlignment="1">
      <alignment horizontal="center"/>
    </xf>
    <xf numFmtId="0" fontId="0" fillId="0" borderId="25" xfId="0" applyBorder="1"/>
    <xf numFmtId="176" fontId="0" fillId="13" borderId="13" xfId="0" applyNumberFormat="1" applyFill="1" applyBorder="1"/>
    <xf numFmtId="9" fontId="0" fillId="0" borderId="25" xfId="0" applyNumberFormat="1" applyBorder="1"/>
    <xf numFmtId="0" fontId="45" fillId="18" borderId="26" xfId="9" applyFont="1" applyFill="1" applyBorder="1"/>
    <xf numFmtId="0" fontId="46" fillId="7" borderId="24" xfId="9" applyFont="1" applyFill="1" applyBorder="1"/>
    <xf numFmtId="4" fontId="47" fillId="7" borderId="0" xfId="9" applyNumberFormat="1" applyFont="1" applyFill="1"/>
    <xf numFmtId="0" fontId="47" fillId="7" borderId="0" xfId="9" applyFont="1" applyFill="1"/>
    <xf numFmtId="0" fontId="47" fillId="0" borderId="0" xfId="9" applyFont="1"/>
    <xf numFmtId="0" fontId="49" fillId="0" borderId="0" xfId="10" applyFont="1" applyAlignment="1" applyProtection="1"/>
    <xf numFmtId="0" fontId="50" fillId="7" borderId="0" xfId="9" applyFont="1" applyFill="1"/>
    <xf numFmtId="0" fontId="51" fillId="7" borderId="0" xfId="9" applyFont="1" applyFill="1"/>
    <xf numFmtId="4" fontId="50" fillId="7" borderId="0" xfId="9" applyNumberFormat="1" applyFont="1" applyFill="1"/>
    <xf numFmtId="0" fontId="50" fillId="0" borderId="0" xfId="9" applyFont="1"/>
    <xf numFmtId="0" fontId="52" fillId="7" borderId="0" xfId="9" applyFont="1" applyFill="1"/>
    <xf numFmtId="4" fontId="52" fillId="7" borderId="0" xfId="9" applyNumberFormat="1" applyFont="1" applyFill="1"/>
    <xf numFmtId="0" fontId="52" fillId="0" borderId="0" xfId="9" applyFont="1"/>
    <xf numFmtId="0" fontId="53" fillId="13" borderId="28" xfId="9" applyFont="1" applyFill="1" applyBorder="1" applyAlignment="1">
      <alignment horizontal="left" vertical="center" wrapText="1"/>
    </xf>
    <xf numFmtId="0" fontId="50" fillId="7" borderId="29" xfId="9" applyFont="1" applyFill="1" applyBorder="1" applyAlignment="1">
      <alignment horizontal="left" vertical="center" wrapText="1"/>
    </xf>
    <xf numFmtId="14" fontId="50" fillId="7" borderId="29" xfId="9" applyNumberFormat="1" applyFont="1" applyFill="1" applyBorder="1" applyAlignment="1">
      <alignment horizontal="left" vertical="center"/>
    </xf>
    <xf numFmtId="4" fontId="53" fillId="13" borderId="28" xfId="9" applyNumberFormat="1" applyFont="1" applyFill="1" applyBorder="1" applyAlignment="1">
      <alignment horizontal="left" vertical="center"/>
    </xf>
    <xf numFmtId="4" fontId="50" fillId="7" borderId="29" xfId="9" applyNumberFormat="1" applyFont="1" applyFill="1" applyBorder="1" applyAlignment="1">
      <alignment horizontal="left" vertical="center"/>
    </xf>
    <xf numFmtId="0" fontId="53" fillId="13" borderId="30" xfId="9" applyFont="1" applyFill="1" applyBorder="1" applyAlignment="1">
      <alignment horizontal="left" vertical="center" wrapText="1"/>
    </xf>
    <xf numFmtId="0" fontId="50" fillId="7" borderId="31" xfId="9" applyFont="1" applyFill="1" applyBorder="1" applyAlignment="1">
      <alignment horizontal="left" vertical="center" wrapText="1"/>
    </xf>
    <xf numFmtId="0" fontId="53" fillId="13" borderId="30" xfId="9" applyFont="1" applyFill="1" applyBorder="1" applyAlignment="1">
      <alignment horizontal="left" vertical="center"/>
    </xf>
    <xf numFmtId="177" fontId="50" fillId="7" borderId="31" xfId="9" applyNumberFormat="1" applyFont="1" applyFill="1" applyBorder="1" applyAlignment="1">
      <alignment horizontal="left"/>
    </xf>
    <xf numFmtId="4" fontId="53" fillId="13" borderId="30" xfId="9" applyNumberFormat="1" applyFont="1" applyFill="1" applyBorder="1" applyAlignment="1">
      <alignment horizontal="left" vertical="center"/>
    </xf>
    <xf numFmtId="0" fontId="50" fillId="7" borderId="31" xfId="9" applyFont="1" applyFill="1" applyBorder="1" applyAlignment="1">
      <alignment horizontal="left"/>
    </xf>
    <xf numFmtId="0" fontId="47" fillId="7" borderId="0" xfId="9" applyFont="1" applyFill="1" applyAlignment="1">
      <alignment wrapText="1"/>
    </xf>
    <xf numFmtId="0" fontId="47" fillId="0" borderId="0" xfId="9" applyFont="1" applyAlignment="1">
      <alignment wrapText="1"/>
    </xf>
    <xf numFmtId="0" fontId="47" fillId="7" borderId="0" xfId="9" applyFont="1" applyFill="1" applyAlignment="1">
      <alignment horizontal="left" vertical="top" wrapText="1"/>
    </xf>
    <xf numFmtId="0" fontId="47" fillId="7" borderId="0" xfId="9" applyFont="1" applyFill="1" applyAlignment="1">
      <alignment vertical="top"/>
    </xf>
    <xf numFmtId="0" fontId="56" fillId="7" borderId="0" xfId="9" applyFont="1" applyFill="1" applyAlignment="1">
      <alignment vertical="top"/>
    </xf>
    <xf numFmtId="4" fontId="56" fillId="7" borderId="0" xfId="9" applyNumberFormat="1" applyFont="1" applyFill="1" applyAlignment="1">
      <alignment vertical="top"/>
    </xf>
    <xf numFmtId="0" fontId="56" fillId="7" borderId="0" xfId="9" applyFont="1" applyFill="1"/>
    <xf numFmtId="4" fontId="56" fillId="0" borderId="35" xfId="9" applyNumberFormat="1" applyFont="1" applyBorder="1" applyAlignment="1">
      <alignment horizontal="center"/>
    </xf>
    <xf numFmtId="0" fontId="56" fillId="0" borderId="35" xfId="9" applyFont="1" applyBorder="1"/>
    <xf numFmtId="4" fontId="56" fillId="19" borderId="35" xfId="9" applyNumberFormat="1" applyFont="1" applyFill="1" applyBorder="1"/>
    <xf numFmtId="0" fontId="56" fillId="19" borderId="35" xfId="9" applyFont="1" applyFill="1" applyBorder="1"/>
    <xf numFmtId="178" fontId="56" fillId="7" borderId="35" xfId="11" applyNumberFormat="1" applyFont="1" applyFill="1" applyBorder="1" applyAlignment="1">
      <alignment horizontal="center" vertical="center"/>
    </xf>
    <xf numFmtId="178" fontId="56" fillId="20" borderId="35" xfId="11" applyNumberFormat="1" applyFont="1" applyFill="1" applyBorder="1" applyAlignment="1">
      <alignment horizontal="center" vertical="center"/>
    </xf>
    <xf numFmtId="4" fontId="56" fillId="7" borderId="0" xfId="9" applyNumberFormat="1" applyFont="1" applyFill="1"/>
    <xf numFmtId="178" fontId="56" fillId="7" borderId="35" xfId="9" applyNumberFormat="1" applyFont="1" applyFill="1" applyBorder="1" applyAlignment="1">
      <alignment horizontal="center" vertical="center"/>
    </xf>
    <xf numFmtId="4" fontId="47" fillId="0" borderId="0" xfId="9" applyNumberFormat="1" applyFont="1"/>
    <xf numFmtId="0" fontId="44" fillId="7" borderId="0" xfId="9" applyFill="1"/>
    <xf numFmtId="0" fontId="52" fillId="7" borderId="0" xfId="9" applyFont="1" applyFill="1" applyAlignment="1">
      <alignment wrapText="1"/>
    </xf>
    <xf numFmtId="0" fontId="62" fillId="7" borderId="0" xfId="9" applyFont="1" applyFill="1"/>
    <xf numFmtId="0" fontId="53" fillId="13" borderId="28" xfId="9" applyFont="1" applyFill="1" applyBorder="1" applyAlignment="1">
      <alignment horizontal="left" vertical="center"/>
    </xf>
    <xf numFmtId="165" fontId="50" fillId="7" borderId="31" xfId="9" applyNumberFormat="1" applyFont="1" applyFill="1" applyBorder="1" applyAlignment="1">
      <alignment horizontal="left" vertical="center"/>
    </xf>
    <xf numFmtId="1" fontId="50" fillId="7" borderId="31" xfId="9" applyNumberFormat="1" applyFont="1" applyFill="1" applyBorder="1" applyAlignment="1">
      <alignment horizontal="left"/>
    </xf>
    <xf numFmtId="0" fontId="64" fillId="7" borderId="0" xfId="9" applyFont="1" applyFill="1" applyAlignment="1">
      <alignment horizontal="left" vertical="top" wrapText="1"/>
    </xf>
    <xf numFmtId="179" fontId="47" fillId="7" borderId="0" xfId="9" applyNumberFormat="1" applyFont="1" applyFill="1" applyAlignment="1">
      <alignment horizontal="left" vertical="top" wrapText="1"/>
    </xf>
    <xf numFmtId="0" fontId="56" fillId="0" borderId="35" xfId="9" applyFont="1" applyBorder="1" applyAlignment="1">
      <alignment wrapText="1"/>
    </xf>
    <xf numFmtId="0" fontId="56" fillId="19" borderId="35" xfId="9" applyFont="1" applyFill="1" applyBorder="1" applyAlignment="1">
      <alignment horizontal="left" vertical="center"/>
    </xf>
    <xf numFmtId="178" fontId="56" fillId="7" borderId="35" xfId="9" applyNumberFormat="1" applyFont="1" applyFill="1" applyBorder="1" applyAlignment="1">
      <alignment horizontal="center" vertical="center" wrapText="1"/>
    </xf>
    <xf numFmtId="0" fontId="65" fillId="7" borderId="0" xfId="9" applyFont="1" applyFill="1" applyAlignment="1">
      <alignment vertical="top"/>
    </xf>
    <xf numFmtId="0" fontId="56" fillId="7" borderId="0" xfId="9" applyFont="1" applyFill="1" applyAlignment="1">
      <alignment wrapText="1"/>
    </xf>
    <xf numFmtId="0" fontId="56" fillId="7" borderId="0" xfId="9" applyFont="1" applyFill="1" applyAlignment="1">
      <alignment horizontal="center" vertical="center"/>
    </xf>
    <xf numFmtId="178" fontId="56" fillId="20" borderId="35" xfId="9" applyNumberFormat="1" applyFont="1" applyFill="1" applyBorder="1" applyAlignment="1">
      <alignment horizontal="center"/>
    </xf>
    <xf numFmtId="0" fontId="60" fillId="7" borderId="0" xfId="9" applyFont="1" applyFill="1" applyAlignment="1">
      <alignment vertical="top"/>
    </xf>
    <xf numFmtId="0" fontId="73" fillId="7" borderId="0" xfId="9" applyFont="1" applyFill="1"/>
    <xf numFmtId="0" fontId="48" fillId="7" borderId="0" xfId="10" quotePrefix="1" applyFill="1" applyAlignment="1" applyProtection="1">
      <alignment horizontal="left" vertical="top" wrapText="1"/>
    </xf>
    <xf numFmtId="0" fontId="47" fillId="7" borderId="0" xfId="9" applyFont="1" applyFill="1" applyAlignment="1">
      <alignment vertical="top" wrapText="1"/>
    </xf>
    <xf numFmtId="179" fontId="56" fillId="7" borderId="0" xfId="9" applyNumberFormat="1" applyFont="1" applyFill="1"/>
    <xf numFmtId="0" fontId="47" fillId="7" borderId="0" xfId="9" applyFont="1" applyFill="1" applyAlignment="1">
      <alignment horizontal="left" wrapText="1"/>
    </xf>
    <xf numFmtId="178" fontId="56" fillId="0" borderId="35" xfId="9" applyNumberFormat="1" applyFont="1" applyBorder="1" applyAlignment="1">
      <alignment horizontal="center" vertical="center"/>
    </xf>
    <xf numFmtId="178" fontId="56" fillId="20" borderId="35" xfId="9" applyNumberFormat="1" applyFont="1" applyFill="1" applyBorder="1" applyAlignment="1">
      <alignment vertical="center"/>
    </xf>
    <xf numFmtId="178" fontId="56" fillId="0" borderId="35" xfId="9" applyNumberFormat="1" applyFont="1" applyBorder="1" applyAlignment="1">
      <alignment horizontal="center"/>
    </xf>
    <xf numFmtId="178" fontId="56" fillId="20" borderId="39" xfId="9" applyNumberFormat="1" applyFont="1" applyFill="1" applyBorder="1" applyAlignment="1">
      <alignment horizontal="center"/>
    </xf>
    <xf numFmtId="0" fontId="56" fillId="7" borderId="0" xfId="9" applyFont="1" applyFill="1" applyAlignment="1">
      <alignment vertical="center"/>
    </xf>
    <xf numFmtId="0" fontId="56" fillId="19" borderId="35" xfId="9" applyFont="1" applyFill="1" applyBorder="1" applyAlignment="1">
      <alignment vertical="center"/>
    </xf>
    <xf numFmtId="165" fontId="50" fillId="7" borderId="31" xfId="9" applyNumberFormat="1" applyFont="1" applyFill="1" applyBorder="1" applyAlignment="1">
      <alignment horizontal="left"/>
    </xf>
    <xf numFmtId="0" fontId="56" fillId="0" borderId="35" xfId="9" applyFont="1" applyBorder="1" applyAlignment="1">
      <alignment horizontal="left" wrapText="1"/>
    </xf>
    <xf numFmtId="0" fontId="56" fillId="19" borderId="35" xfId="9" applyFont="1" applyFill="1" applyBorder="1" applyAlignment="1">
      <alignment horizontal="left" wrapText="1"/>
    </xf>
    <xf numFmtId="0" fontId="56" fillId="7" borderId="0" xfId="9" applyFont="1" applyFill="1" applyAlignment="1">
      <alignment horizontal="left"/>
    </xf>
    <xf numFmtId="0" fontId="56" fillId="7" borderId="0" xfId="9" applyFont="1" applyFill="1" applyAlignment="1">
      <alignment horizontal="left" wrapText="1"/>
    </xf>
    <xf numFmtId="178" fontId="56" fillId="7" borderId="35" xfId="9" applyNumberFormat="1" applyFont="1" applyFill="1" applyBorder="1" applyAlignment="1">
      <alignment horizontal="center" wrapText="1"/>
    </xf>
    <xf numFmtId="0" fontId="78" fillId="7" borderId="0" xfId="9" applyFont="1" applyFill="1" applyAlignment="1">
      <alignment vertical="top"/>
    </xf>
    <xf numFmtId="0" fontId="56" fillId="7" borderId="0" xfId="9" applyFont="1" applyFill="1" applyAlignment="1">
      <alignment horizontal="left" vertical="top" wrapText="1"/>
    </xf>
    <xf numFmtId="0" fontId="56" fillId="0" borderId="0" xfId="9" applyFont="1"/>
    <xf numFmtId="0" fontId="44" fillId="0" borderId="0" xfId="9"/>
    <xf numFmtId="0" fontId="62" fillId="0" borderId="0" xfId="9" applyFont="1"/>
    <xf numFmtId="0" fontId="53" fillId="13" borderId="28" xfId="9" applyFont="1" applyFill="1" applyBorder="1" applyAlignment="1">
      <alignment vertical="center" wrapText="1"/>
    </xf>
    <xf numFmtId="14" fontId="50" fillId="7" borderId="29" xfId="9" applyNumberFormat="1" applyFont="1" applyFill="1" applyBorder="1" applyAlignment="1">
      <alignment vertical="center" wrapText="1"/>
    </xf>
    <xf numFmtId="0" fontId="53" fillId="13" borderId="30" xfId="9" applyFont="1" applyFill="1" applyBorder="1" applyAlignment="1">
      <alignment vertical="center" wrapText="1"/>
    </xf>
    <xf numFmtId="165" fontId="50" fillId="7" borderId="31" xfId="9" applyNumberFormat="1" applyFont="1" applyFill="1" applyBorder="1" applyAlignment="1">
      <alignment vertical="center" wrapText="1"/>
    </xf>
    <xf numFmtId="0" fontId="54" fillId="7" borderId="0" xfId="9" applyFont="1" applyFill="1" applyAlignment="1">
      <alignment horizontal="left" vertical="top" wrapText="1"/>
    </xf>
    <xf numFmtId="0" fontId="54" fillId="7" borderId="0" xfId="9" applyFont="1" applyFill="1" applyAlignment="1">
      <alignment vertical="top" wrapText="1"/>
    </xf>
    <xf numFmtId="0" fontId="47" fillId="7" borderId="0" xfId="9" applyFont="1" applyFill="1" applyAlignment="1">
      <alignment vertical="center"/>
    </xf>
    <xf numFmtId="180" fontId="44" fillId="7" borderId="0" xfId="9" applyNumberFormat="1" applyFill="1"/>
    <xf numFmtId="178" fontId="83" fillId="7" borderId="0" xfId="9" applyNumberFormat="1" applyFont="1" applyFill="1"/>
    <xf numFmtId="0" fontId="84" fillId="7" borderId="0" xfId="9" applyFont="1" applyFill="1"/>
    <xf numFmtId="179" fontId="56" fillId="19" borderId="35" xfId="9" applyNumberFormat="1" applyFont="1" applyFill="1" applyBorder="1"/>
    <xf numFmtId="181" fontId="56" fillId="0" borderId="35" xfId="9" applyNumberFormat="1" applyFont="1" applyBorder="1" applyAlignment="1">
      <alignment horizontal="center"/>
    </xf>
    <xf numFmtId="178" fontId="56" fillId="20" borderId="35" xfId="9" applyNumberFormat="1" applyFont="1" applyFill="1" applyBorder="1"/>
    <xf numFmtId="178" fontId="56" fillId="0" borderId="35" xfId="9" applyNumberFormat="1" applyFont="1" applyBorder="1" applyAlignment="1">
      <alignment vertical="center"/>
    </xf>
    <xf numFmtId="179" fontId="56" fillId="0" borderId="35" xfId="9" applyNumberFormat="1" applyFont="1" applyBorder="1" applyAlignment="1">
      <alignment horizontal="center"/>
    </xf>
    <xf numFmtId="0" fontId="56" fillId="7" borderId="0" xfId="9" applyFont="1" applyFill="1" applyAlignment="1">
      <alignment horizontal="left" vertical="top"/>
    </xf>
    <xf numFmtId="0" fontId="55" fillId="7" borderId="0" xfId="9" applyFont="1" applyFill="1" applyAlignment="1">
      <alignment horizontal="left" vertical="top" wrapText="1"/>
    </xf>
    <xf numFmtId="0" fontId="86" fillId="7" borderId="0" xfId="9" applyFont="1" applyFill="1" applyAlignment="1">
      <alignment horizontal="left" vertical="top" wrapText="1"/>
    </xf>
    <xf numFmtId="0" fontId="86" fillId="7" borderId="0" xfId="9" applyFont="1" applyFill="1" applyAlignment="1">
      <alignment vertical="top" wrapText="1"/>
    </xf>
    <xf numFmtId="0" fontId="65" fillId="7" borderId="0" xfId="9" applyFont="1" applyFill="1" applyAlignment="1">
      <alignment horizontal="left"/>
    </xf>
    <xf numFmtId="0" fontId="89" fillId="7" borderId="0" xfId="9" applyFont="1" applyFill="1" applyAlignment="1">
      <alignment horizontal="left" vertical="top"/>
    </xf>
    <xf numFmtId="0" fontId="90" fillId="7" borderId="0" xfId="9" applyFont="1" applyFill="1" applyAlignment="1">
      <alignment horizontal="left" vertical="top" wrapText="1"/>
    </xf>
    <xf numFmtId="0" fontId="56" fillId="7" borderId="13" xfId="9" applyFont="1" applyFill="1" applyBorder="1" applyAlignment="1">
      <alignment horizontal="left" vertical="top" wrapText="1"/>
    </xf>
    <xf numFmtId="0" fontId="91" fillId="7" borderId="13" xfId="9" applyFont="1" applyFill="1" applyBorder="1" applyAlignment="1">
      <alignment horizontal="left" vertical="top" wrapText="1"/>
    </xf>
    <xf numFmtId="0" fontId="56" fillId="19" borderId="35" xfId="9" applyFont="1" applyFill="1" applyBorder="1" applyAlignment="1">
      <alignment wrapText="1"/>
    </xf>
    <xf numFmtId="0" fontId="56" fillId="19" borderId="35" xfId="9" applyFont="1" applyFill="1" applyBorder="1" applyAlignment="1">
      <alignment vertical="top" wrapText="1"/>
    </xf>
    <xf numFmtId="0" fontId="56" fillId="19" borderId="35" xfId="9" applyFont="1" applyFill="1" applyBorder="1" applyAlignment="1">
      <alignment vertical="top"/>
    </xf>
    <xf numFmtId="0" fontId="92" fillId="7" borderId="0" xfId="9" applyFont="1" applyFill="1" applyAlignment="1">
      <alignment horizontal="left" vertical="top"/>
    </xf>
    <xf numFmtId="0" fontId="93" fillId="7" borderId="0" xfId="9" applyFont="1" applyFill="1"/>
    <xf numFmtId="0" fontId="50" fillId="7" borderId="0" xfId="9" applyFont="1" applyFill="1" applyAlignment="1">
      <alignment horizontal="left" vertical="top" wrapText="1"/>
    </xf>
    <xf numFmtId="0" fontId="7" fillId="7" borderId="0" xfId="9" applyFont="1" applyFill="1" applyAlignment="1">
      <alignment horizontal="right" vertical="top"/>
    </xf>
    <xf numFmtId="180" fontId="56" fillId="0" borderId="35" xfId="9" applyNumberFormat="1" applyFont="1" applyBorder="1" applyAlignment="1">
      <alignment horizontal="center" vertical="top"/>
    </xf>
    <xf numFmtId="0" fontId="96" fillId="7" borderId="0" xfId="9" applyFont="1" applyFill="1" applyAlignment="1">
      <alignment vertical="top" wrapText="1"/>
    </xf>
    <xf numFmtId="0" fontId="90" fillId="7" borderId="0" xfId="9" applyFont="1" applyFill="1"/>
    <xf numFmtId="0" fontId="44" fillId="7" borderId="0" xfId="9" applyFill="1" applyAlignment="1">
      <alignment horizontal="left" vertical="top" wrapText="1"/>
    </xf>
    <xf numFmtId="0" fontId="56" fillId="19" borderId="41" xfId="9" applyFont="1" applyFill="1" applyBorder="1"/>
    <xf numFmtId="0" fontId="56" fillId="19" borderId="45" xfId="9" applyFont="1" applyFill="1" applyBorder="1"/>
    <xf numFmtId="0" fontId="56" fillId="19" borderId="46" xfId="9" applyFont="1" applyFill="1" applyBorder="1"/>
    <xf numFmtId="0" fontId="56" fillId="19" borderId="47" xfId="9" applyFont="1" applyFill="1" applyBorder="1"/>
    <xf numFmtId="181" fontId="56" fillId="0" borderId="35" xfId="9" applyNumberFormat="1" applyFont="1" applyBorder="1" applyAlignment="1">
      <alignment horizontal="center" vertical="center"/>
    </xf>
    <xf numFmtId="178" fontId="56" fillId="20" borderId="35" xfId="9" applyNumberFormat="1" applyFont="1" applyFill="1" applyBorder="1" applyAlignment="1">
      <alignment horizontal="center" vertical="center"/>
    </xf>
    <xf numFmtId="181" fontId="56" fillId="7" borderId="0" xfId="9" applyNumberFormat="1" applyFont="1" applyFill="1"/>
    <xf numFmtId="0" fontId="44" fillId="7" borderId="0" xfId="9" applyFill="1" applyAlignment="1">
      <alignment horizontal="left" vertical="top"/>
    </xf>
    <xf numFmtId="0" fontId="90" fillId="7" borderId="0" xfId="9" applyFont="1" applyFill="1" applyAlignment="1">
      <alignment vertical="top" wrapText="1"/>
    </xf>
    <xf numFmtId="0" fontId="56" fillId="0" borderId="48" xfId="9" applyFont="1" applyBorder="1" applyAlignment="1">
      <alignment horizontal="left" wrapText="1"/>
    </xf>
    <xf numFmtId="0" fontId="56" fillId="0" borderId="49" xfId="9" applyFont="1" applyBorder="1" applyAlignment="1">
      <alignment horizontal="left" wrapText="1"/>
    </xf>
    <xf numFmtId="0" fontId="56" fillId="0" borderId="52" xfId="9" applyFont="1" applyBorder="1" applyAlignment="1">
      <alignment horizontal="left" wrapText="1"/>
    </xf>
    <xf numFmtId="0" fontId="56" fillId="19" borderId="53" xfId="9" applyFont="1" applyFill="1" applyBorder="1" applyAlignment="1">
      <alignment horizontal="left"/>
    </xf>
    <xf numFmtId="0" fontId="56" fillId="19" borderId="35" xfId="9" applyFont="1" applyFill="1" applyBorder="1" applyAlignment="1">
      <alignment horizontal="left"/>
    </xf>
    <xf numFmtId="0" fontId="56" fillId="19" borderId="54" xfId="9" applyFont="1" applyFill="1" applyBorder="1" applyAlignment="1">
      <alignment horizontal="left"/>
    </xf>
    <xf numFmtId="0" fontId="56" fillId="19" borderId="55" xfId="9" applyFont="1" applyFill="1" applyBorder="1" applyAlignment="1">
      <alignment horizontal="left"/>
    </xf>
    <xf numFmtId="0" fontId="56" fillId="19" borderId="44" xfId="9" applyFont="1" applyFill="1" applyBorder="1" applyAlignment="1">
      <alignment horizontal="left" wrapText="1"/>
    </xf>
    <xf numFmtId="178" fontId="56" fillId="0" borderId="53" xfId="9" applyNumberFormat="1" applyFont="1" applyBorder="1" applyAlignment="1">
      <alignment horizontal="center" wrapText="1"/>
    </xf>
    <xf numFmtId="178" fontId="56" fillId="7" borderId="53" xfId="9" applyNumberFormat="1" applyFont="1" applyFill="1" applyBorder="1" applyAlignment="1">
      <alignment horizontal="center" wrapText="1"/>
    </xf>
    <xf numFmtId="0" fontId="56" fillId="19" borderId="57" xfId="9" applyFont="1" applyFill="1" applyBorder="1" applyAlignment="1">
      <alignment horizontal="left" wrapText="1"/>
    </xf>
    <xf numFmtId="0" fontId="56" fillId="19" borderId="58" xfId="9" applyFont="1" applyFill="1" applyBorder="1" applyAlignment="1">
      <alignment horizontal="left" wrapText="1"/>
    </xf>
    <xf numFmtId="0" fontId="55" fillId="7" borderId="0" xfId="9" applyFont="1" applyFill="1" applyAlignment="1">
      <alignment vertical="top"/>
    </xf>
    <xf numFmtId="0" fontId="48" fillId="7" borderId="0" xfId="10" applyFill="1" applyAlignment="1" applyProtection="1">
      <alignment vertical="top" wrapText="1"/>
    </xf>
    <xf numFmtId="0" fontId="63" fillId="7" borderId="0" xfId="10" applyFont="1" applyFill="1" applyAlignment="1" applyProtection="1">
      <alignment vertical="top" wrapText="1"/>
    </xf>
    <xf numFmtId="0" fontId="48" fillId="7" borderId="0" xfId="10" applyFill="1" applyAlignment="1" applyProtection="1">
      <alignment vertical="top"/>
    </xf>
    <xf numFmtId="0" fontId="59" fillId="7" borderId="0" xfId="10" applyFont="1" applyFill="1" applyAlignment="1" applyProtection="1">
      <alignment vertical="top" wrapText="1"/>
    </xf>
    <xf numFmtId="0" fontId="56" fillId="7" borderId="0" xfId="9" applyFont="1" applyFill="1" applyAlignment="1">
      <alignment vertical="top" wrapText="1"/>
    </xf>
    <xf numFmtId="0" fontId="8" fillId="2" borderId="0" xfId="0" applyFont="1" applyFill="1" applyAlignment="1">
      <alignment horizontal="center" vertical="center" wrapText="1"/>
    </xf>
    <xf numFmtId="0" fontId="81" fillId="7" borderId="0" xfId="9" applyFont="1" applyFill="1"/>
    <xf numFmtId="0" fontId="47" fillId="7" borderId="0" xfId="9" applyFont="1" applyFill="1" applyAlignment="1">
      <alignment horizontal="left"/>
    </xf>
    <xf numFmtId="178" fontId="56" fillId="0" borderId="35" xfId="11" applyNumberFormat="1" applyFont="1" applyFill="1" applyBorder="1" applyAlignment="1">
      <alignment horizontal="center" vertical="center"/>
    </xf>
    <xf numFmtId="178" fontId="56" fillId="7" borderId="35" xfId="9" applyNumberFormat="1" applyFont="1" applyFill="1" applyBorder="1" applyAlignment="1">
      <alignment horizontal="center"/>
    </xf>
    <xf numFmtId="182" fontId="47" fillId="7" borderId="0" xfId="9" applyNumberFormat="1" applyFont="1" applyFill="1"/>
    <xf numFmtId="182" fontId="50" fillId="7" borderId="0" xfId="9" applyNumberFormat="1" applyFont="1" applyFill="1"/>
    <xf numFmtId="182" fontId="52" fillId="7" borderId="0" xfId="9" applyNumberFormat="1" applyFont="1" applyFill="1"/>
    <xf numFmtId="182" fontId="53" fillId="13" borderId="28" xfId="9" applyNumberFormat="1" applyFont="1" applyFill="1" applyBorder="1" applyAlignment="1">
      <alignment horizontal="left" vertical="center"/>
    </xf>
    <xf numFmtId="182" fontId="50" fillId="7" borderId="29" xfId="9" applyNumberFormat="1" applyFont="1" applyFill="1" applyBorder="1" applyAlignment="1">
      <alignment horizontal="left" vertical="center"/>
    </xf>
    <xf numFmtId="182" fontId="53" fillId="13" borderId="30" xfId="9" applyNumberFormat="1" applyFont="1" applyFill="1" applyBorder="1" applyAlignment="1">
      <alignment horizontal="left" vertical="center"/>
    </xf>
    <xf numFmtId="0" fontId="48" fillId="7" borderId="0" xfId="10" applyFill="1" applyAlignment="1" applyProtection="1"/>
    <xf numFmtId="182" fontId="56" fillId="7" borderId="0" xfId="9" applyNumberFormat="1" applyFont="1" applyFill="1"/>
    <xf numFmtId="182" fontId="56" fillId="0" borderId="35" xfId="9" applyNumberFormat="1" applyFont="1" applyBorder="1" applyAlignment="1">
      <alignment horizontal="center"/>
    </xf>
    <xf numFmtId="182" fontId="56" fillId="0" borderId="54" xfId="9" applyNumberFormat="1" applyFont="1" applyBorder="1" applyAlignment="1">
      <alignment horizontal="center"/>
    </xf>
    <xf numFmtId="182" fontId="56" fillId="19" borderId="35" xfId="11" applyNumberFormat="1" applyFont="1" applyFill="1" applyBorder="1" applyAlignment="1"/>
    <xf numFmtId="182" fontId="56" fillId="7" borderId="0" xfId="11" applyNumberFormat="1" applyFont="1" applyFill="1" applyAlignment="1">
      <alignment horizontal="center"/>
    </xf>
    <xf numFmtId="182" fontId="56" fillId="0" borderId="35" xfId="11" applyNumberFormat="1" applyFont="1" applyBorder="1" applyAlignment="1">
      <alignment horizontal="center"/>
    </xf>
    <xf numFmtId="182" fontId="56" fillId="7" borderId="0" xfId="11" applyNumberFormat="1" applyFont="1" applyFill="1"/>
    <xf numFmtId="178" fontId="56" fillId="0" borderId="35" xfId="9" applyNumberFormat="1" applyFont="1" applyBorder="1"/>
    <xf numFmtId="178" fontId="56" fillId="0" borderId="35" xfId="11" applyNumberFormat="1" applyFont="1" applyFill="1" applyBorder="1"/>
    <xf numFmtId="182" fontId="56" fillId="7" borderId="0" xfId="9" applyNumberFormat="1" applyFont="1" applyFill="1" applyAlignment="1">
      <alignment vertical="top"/>
    </xf>
    <xf numFmtId="182" fontId="47" fillId="0" borderId="0" xfId="9" applyNumberFormat="1" applyFont="1"/>
    <xf numFmtId="185" fontId="0" fillId="0" borderId="5" xfId="0" applyNumberFormat="1" applyBorder="1"/>
    <xf numFmtId="186" fontId="0" fillId="13" borderId="13" xfId="0" applyNumberFormat="1" applyFill="1" applyBorder="1"/>
    <xf numFmtId="187" fontId="0" fillId="13" borderId="13" xfId="0" applyNumberFormat="1" applyFill="1" applyBorder="1"/>
    <xf numFmtId="0" fontId="0" fillId="0" borderId="20" xfId="0" applyBorder="1"/>
    <xf numFmtId="175" fontId="41" fillId="12" borderId="14" xfId="0" applyNumberFormat="1" applyFont="1" applyFill="1" applyBorder="1"/>
    <xf numFmtId="0" fontId="0" fillId="0" borderId="18" xfId="0" applyBorder="1"/>
    <xf numFmtId="0" fontId="0" fillId="0" borderId="27" xfId="0" applyBorder="1"/>
    <xf numFmtId="0" fontId="0" fillId="0" borderId="11" xfId="0" applyBorder="1"/>
    <xf numFmtId="164" fontId="41" fillId="12" borderId="14" xfId="0" applyNumberFormat="1" applyFont="1" applyFill="1" applyBorder="1"/>
    <xf numFmtId="0" fontId="0" fillId="13" borderId="14" xfId="0" applyFill="1" applyBorder="1"/>
    <xf numFmtId="2" fontId="0" fillId="13" borderId="13" xfId="0" applyNumberFormat="1" applyFill="1" applyBorder="1"/>
    <xf numFmtId="41" fontId="0" fillId="13" borderId="13" xfId="0" applyNumberFormat="1" applyFill="1" applyBorder="1"/>
    <xf numFmtId="183" fontId="0" fillId="13" borderId="13" xfId="0" applyNumberFormat="1" applyFill="1" applyBorder="1"/>
    <xf numFmtId="2" fontId="39" fillId="16" borderId="13" xfId="0" applyNumberFormat="1" applyFont="1" applyFill="1" applyBorder="1"/>
    <xf numFmtId="167" fontId="6" fillId="9" borderId="13" xfId="7" applyFont="1" applyFill="1" applyBorder="1" applyAlignment="1">
      <alignment horizontal="center" vertical="center"/>
    </xf>
    <xf numFmtId="182" fontId="0" fillId="13" borderId="13" xfId="0" applyNumberFormat="1" applyFill="1" applyBorder="1"/>
    <xf numFmtId="182" fontId="39" fillId="16" borderId="13" xfId="0" applyNumberFormat="1" applyFont="1" applyFill="1" applyBorder="1"/>
    <xf numFmtId="41" fontId="0" fillId="13" borderId="17" xfId="0" applyNumberFormat="1" applyFill="1" applyBorder="1"/>
    <xf numFmtId="165" fontId="0" fillId="13" borderId="13" xfId="0" applyNumberFormat="1" applyFill="1" applyBorder="1"/>
    <xf numFmtId="41" fontId="0" fillId="13" borderId="19" xfId="0" applyNumberFormat="1" applyFill="1" applyBorder="1"/>
    <xf numFmtId="165" fontId="0" fillId="13" borderId="14" xfId="0" applyNumberFormat="1" applyFill="1" applyBorder="1"/>
    <xf numFmtId="41" fontId="0" fillId="13" borderId="9" xfId="0" applyNumberFormat="1" applyFill="1" applyBorder="1"/>
    <xf numFmtId="165" fontId="0" fillId="13" borderId="11" xfId="0" applyNumberFormat="1" applyFill="1" applyBorder="1"/>
    <xf numFmtId="41" fontId="0" fillId="13" borderId="5" xfId="0" applyNumberFormat="1" applyFill="1" applyBorder="1"/>
    <xf numFmtId="165" fontId="0" fillId="13" borderId="1" xfId="0" applyNumberFormat="1" applyFill="1" applyBorder="1"/>
    <xf numFmtId="0" fontId="0" fillId="13" borderId="18" xfId="0" applyFill="1" applyBorder="1"/>
    <xf numFmtId="0" fontId="2" fillId="0" borderId="0" xfId="12"/>
    <xf numFmtId="0" fontId="2" fillId="0" borderId="26" xfId="12" applyBorder="1" applyAlignment="1">
      <alignment horizontal="left"/>
    </xf>
    <xf numFmtId="0" fontId="2" fillId="0" borderId="26" xfId="12" applyBorder="1"/>
    <xf numFmtId="0" fontId="2" fillId="0" borderId="25" xfId="12" applyBorder="1" applyAlignment="1">
      <alignment horizontal="left"/>
    </xf>
    <xf numFmtId="0" fontId="2" fillId="0" borderId="25" xfId="12" applyBorder="1"/>
    <xf numFmtId="188" fontId="0" fillId="13" borderId="13" xfId="0" applyNumberFormat="1" applyFill="1" applyBorder="1"/>
    <xf numFmtId="3" fontId="0" fillId="13" borderId="13" xfId="0" applyNumberFormat="1" applyFill="1" applyBorder="1"/>
    <xf numFmtId="41" fontId="0" fillId="13" borderId="14" xfId="0" applyNumberFormat="1" applyFill="1" applyBorder="1"/>
    <xf numFmtId="3" fontId="0" fillId="13" borderId="14" xfId="0" applyNumberFormat="1" applyFill="1" applyBorder="1"/>
    <xf numFmtId="41" fontId="0" fillId="13" borderId="1" xfId="0" applyNumberFormat="1" applyFill="1" applyBorder="1"/>
    <xf numFmtId="3" fontId="0" fillId="13" borderId="1" xfId="0" applyNumberFormat="1" applyFill="1" applyBorder="1"/>
    <xf numFmtId="189" fontId="0" fillId="0" borderId="13" xfId="0" applyNumberFormat="1" applyBorder="1" applyAlignment="1">
      <alignment vertical="center"/>
    </xf>
    <xf numFmtId="0" fontId="110" fillId="0" borderId="0" xfId="13" applyAlignment="1">
      <alignment horizontal="left" vertical="top"/>
    </xf>
    <xf numFmtId="3" fontId="112" fillId="0" borderId="1" xfId="13" applyNumberFormat="1" applyFont="1" applyBorder="1" applyAlignment="1">
      <alignment horizontal="left" vertical="top" indent="2" shrinkToFit="1"/>
    </xf>
    <xf numFmtId="1" fontId="112" fillId="0" borderId="1" xfId="13" applyNumberFormat="1" applyFont="1" applyBorder="1" applyAlignment="1">
      <alignment horizontal="center" vertical="top" shrinkToFit="1"/>
    </xf>
    <xf numFmtId="165" fontId="112" fillId="0" borderId="5" xfId="13" applyNumberFormat="1" applyFont="1" applyBorder="1" applyAlignment="1">
      <alignment horizontal="center" vertical="top" shrinkToFit="1"/>
    </xf>
    <xf numFmtId="165" fontId="112" fillId="0" borderId="1" xfId="13" applyNumberFormat="1" applyFont="1" applyBorder="1" applyAlignment="1">
      <alignment horizontal="center" vertical="top" shrinkToFit="1"/>
    </xf>
    <xf numFmtId="2" fontId="112" fillId="0" borderId="1" xfId="13" applyNumberFormat="1" applyFont="1" applyBorder="1" applyAlignment="1">
      <alignment horizontal="center" vertical="top" shrinkToFit="1"/>
    </xf>
    <xf numFmtId="1" fontId="112" fillId="0" borderId="5" xfId="13" applyNumberFormat="1" applyFont="1" applyBorder="1" applyAlignment="1">
      <alignment horizontal="center" vertical="top" shrinkToFit="1"/>
    </xf>
    <xf numFmtId="3" fontId="112" fillId="0" borderId="1" xfId="13" applyNumberFormat="1" applyFont="1" applyBorder="1" applyAlignment="1">
      <alignment horizontal="left" vertical="top" indent="1" shrinkToFit="1"/>
    </xf>
    <xf numFmtId="3" fontId="113" fillId="0" borderId="1" xfId="13" applyNumberFormat="1" applyFont="1" applyBorder="1" applyAlignment="1">
      <alignment horizontal="left" vertical="top" indent="2" shrinkToFit="1"/>
    </xf>
    <xf numFmtId="3" fontId="113" fillId="0" borderId="1" xfId="13" applyNumberFormat="1" applyFont="1" applyBorder="1" applyAlignment="1">
      <alignment horizontal="left" vertical="top" indent="1" shrinkToFit="1"/>
    </xf>
    <xf numFmtId="3" fontId="113" fillId="0" borderId="1" xfId="13" applyNumberFormat="1" applyFont="1" applyBorder="1" applyAlignment="1">
      <alignment horizontal="right" vertical="top" indent="1" shrinkToFit="1"/>
    </xf>
    <xf numFmtId="1" fontId="113" fillId="0" borderId="5" xfId="13" applyNumberFormat="1" applyFont="1" applyBorder="1" applyAlignment="1">
      <alignment horizontal="center" vertical="top" shrinkToFit="1"/>
    </xf>
    <xf numFmtId="1" fontId="113" fillId="0" borderId="1" xfId="13" applyNumberFormat="1" applyFont="1" applyBorder="1" applyAlignment="1">
      <alignment horizontal="center" vertical="top" shrinkToFit="1"/>
    </xf>
    <xf numFmtId="165" fontId="113" fillId="0" borderId="5" xfId="13" applyNumberFormat="1" applyFont="1" applyBorder="1" applyAlignment="1">
      <alignment horizontal="center" vertical="top" shrinkToFit="1"/>
    </xf>
    <xf numFmtId="165" fontId="113" fillId="0" borderId="1" xfId="13" applyNumberFormat="1" applyFont="1" applyBorder="1" applyAlignment="1">
      <alignment horizontal="center" vertical="top" shrinkToFit="1"/>
    </xf>
    <xf numFmtId="0" fontId="110" fillId="0" borderId="1" xfId="13" applyBorder="1" applyAlignment="1">
      <alignment horizontal="left" vertical="top" wrapText="1" indent="1"/>
    </xf>
    <xf numFmtId="0" fontId="114" fillId="0" borderId="1" xfId="13" applyFont="1" applyBorder="1" applyAlignment="1">
      <alignment horizontal="left" vertical="top" wrapText="1"/>
    </xf>
    <xf numFmtId="0" fontId="110" fillId="0" borderId="1" xfId="13" applyBorder="1" applyAlignment="1">
      <alignment horizontal="left" vertical="center" wrapText="1" indent="1"/>
    </xf>
    <xf numFmtId="3" fontId="113" fillId="0" borderId="1" xfId="13" applyNumberFormat="1" applyFont="1" applyBorder="1" applyAlignment="1">
      <alignment horizontal="left" vertical="center" indent="1" shrinkToFit="1"/>
    </xf>
    <xf numFmtId="3" fontId="113" fillId="0" borderId="1" xfId="13" applyNumberFormat="1" applyFont="1" applyBorder="1" applyAlignment="1">
      <alignment horizontal="right" vertical="center" indent="1" shrinkToFit="1"/>
    </xf>
    <xf numFmtId="1" fontId="113" fillId="0" borderId="5" xfId="13" applyNumberFormat="1" applyFont="1" applyBorder="1" applyAlignment="1">
      <alignment horizontal="center" vertical="center" shrinkToFit="1"/>
    </xf>
    <xf numFmtId="1" fontId="113" fillId="0" borderId="1" xfId="13" applyNumberFormat="1" applyFont="1" applyBorder="1" applyAlignment="1">
      <alignment horizontal="center" vertical="center" shrinkToFit="1"/>
    </xf>
    <xf numFmtId="165" fontId="113" fillId="0" borderId="5" xfId="13" applyNumberFormat="1" applyFont="1" applyBorder="1" applyAlignment="1">
      <alignment horizontal="center" vertical="center" shrinkToFit="1"/>
    </xf>
    <xf numFmtId="165" fontId="113" fillId="0" borderId="1" xfId="13" applyNumberFormat="1" applyFont="1" applyBorder="1" applyAlignment="1">
      <alignment horizontal="center" vertical="center" shrinkToFit="1"/>
    </xf>
    <xf numFmtId="2" fontId="113" fillId="0" borderId="1" xfId="13" applyNumberFormat="1" applyFont="1" applyBorder="1" applyAlignment="1">
      <alignment horizontal="center" vertical="top" shrinkToFit="1"/>
    </xf>
    <xf numFmtId="3" fontId="113" fillId="0" borderId="1" xfId="13" applyNumberFormat="1" applyFont="1" applyBorder="1" applyAlignment="1">
      <alignment horizontal="left" vertical="center" indent="2" shrinkToFit="1"/>
    </xf>
    <xf numFmtId="3" fontId="112" fillId="0" borderId="1" xfId="13" applyNumberFormat="1" applyFont="1" applyBorder="1" applyAlignment="1">
      <alignment horizontal="left" vertical="center" indent="1" shrinkToFit="1"/>
    </xf>
    <xf numFmtId="1" fontId="112" fillId="0" borderId="5" xfId="13" applyNumberFormat="1" applyFont="1" applyBorder="1" applyAlignment="1">
      <alignment horizontal="center" vertical="center" shrinkToFit="1"/>
    </xf>
    <xf numFmtId="165" fontId="112" fillId="0" borderId="1" xfId="13" applyNumberFormat="1" applyFont="1" applyBorder="1" applyAlignment="1">
      <alignment horizontal="center" vertical="center" shrinkToFit="1"/>
    </xf>
    <xf numFmtId="1" fontId="112" fillId="0" borderId="1" xfId="13" applyNumberFormat="1" applyFont="1" applyBorder="1" applyAlignment="1">
      <alignment horizontal="center" vertical="center" shrinkToFit="1"/>
    </xf>
    <xf numFmtId="2" fontId="112" fillId="0" borderId="1" xfId="13" applyNumberFormat="1" applyFont="1" applyBorder="1" applyAlignment="1">
      <alignment horizontal="center" vertical="center" shrinkToFit="1"/>
    </xf>
    <xf numFmtId="0" fontId="116" fillId="0" borderId="1" xfId="13" applyFont="1" applyBorder="1" applyAlignment="1">
      <alignment horizontal="left" textRotation="90" wrapText="1"/>
    </xf>
    <xf numFmtId="1" fontId="112" fillId="0" borderId="3" xfId="13" applyNumberFormat="1" applyFont="1" applyBorder="1" applyAlignment="1">
      <alignment vertical="top" shrinkToFit="1"/>
    </xf>
    <xf numFmtId="1" fontId="112" fillId="0" borderId="5" xfId="13" applyNumberFormat="1" applyFont="1" applyBorder="1" applyAlignment="1">
      <alignment vertical="top" shrinkToFit="1"/>
    </xf>
    <xf numFmtId="1" fontId="110" fillId="0" borderId="1" xfId="13" applyNumberFormat="1" applyBorder="1" applyAlignment="1">
      <alignment horizontal="left" vertical="center" wrapText="1" indent="1"/>
    </xf>
    <xf numFmtId="185" fontId="0" fillId="0" borderId="17" xfId="0" applyNumberFormat="1" applyBorder="1"/>
    <xf numFmtId="0" fontId="118" fillId="0" borderId="0" xfId="14"/>
    <xf numFmtId="0" fontId="5" fillId="0" borderId="13" xfId="0" applyFont="1" applyBorder="1"/>
    <xf numFmtId="0" fontId="5" fillId="13" borderId="13" xfId="0" applyFont="1" applyFill="1" applyBorder="1"/>
    <xf numFmtId="0" fontId="0" fillId="13" borderId="13" xfId="0" applyFill="1" applyBorder="1" applyAlignment="1">
      <alignment horizontal="left"/>
    </xf>
    <xf numFmtId="190" fontId="0" fillId="0" borderId="0" xfId="0" applyNumberFormat="1"/>
    <xf numFmtId="166" fontId="0" fillId="0" borderId="0" xfId="0" applyNumberFormat="1"/>
    <xf numFmtId="191" fontId="0" fillId="13" borderId="13" xfId="0" applyNumberFormat="1" applyFill="1" applyBorder="1"/>
    <xf numFmtId="0" fontId="5" fillId="0" borderId="1" xfId="0" applyFont="1" applyBorder="1"/>
    <xf numFmtId="171" fontId="0" fillId="13" borderId="1" xfId="0" applyNumberFormat="1" applyFill="1" applyBorder="1"/>
    <xf numFmtId="0" fontId="4" fillId="2" borderId="13" xfId="0" applyFont="1" applyFill="1" applyBorder="1" applyAlignment="1">
      <alignment horizontal="center" vertical="center" wrapText="1"/>
    </xf>
    <xf numFmtId="43" fontId="5" fillId="13" borderId="13" xfId="0" applyNumberFormat="1" applyFont="1" applyFill="1" applyBorder="1"/>
    <xf numFmtId="0" fontId="5" fillId="0" borderId="15" xfId="0" applyFont="1" applyBorder="1"/>
    <xf numFmtId="0" fontId="5" fillId="0" borderId="13" xfId="0" applyFont="1" applyBorder="1" applyAlignment="1">
      <alignment horizontal="center" vertical="center"/>
    </xf>
    <xf numFmtId="0" fontId="5" fillId="0" borderId="0" xfId="0" applyFont="1"/>
    <xf numFmtId="43" fontId="5" fillId="13" borderId="1" xfId="0" applyNumberFormat="1" applyFont="1" applyFill="1" applyBorder="1"/>
    <xf numFmtId="0" fontId="5" fillId="0" borderId="14" xfId="0" applyFont="1" applyBorder="1"/>
    <xf numFmtId="0" fontId="5" fillId="13" borderId="14" xfId="0" applyFont="1" applyFill="1" applyBorder="1"/>
    <xf numFmtId="0" fontId="5" fillId="13" borderId="1" xfId="0" applyFont="1" applyFill="1" applyBorder="1"/>
    <xf numFmtId="0" fontId="5" fillId="0" borderId="0" xfId="0" applyFont="1" applyAlignment="1">
      <alignment horizontal="center" vertical="center"/>
    </xf>
    <xf numFmtId="0" fontId="4" fillId="2" borderId="18" xfId="0" applyFont="1" applyFill="1" applyBorder="1" applyAlignment="1">
      <alignment horizontal="center" vertical="center" wrapText="1"/>
    </xf>
    <xf numFmtId="0" fontId="5" fillId="0" borderId="25" xfId="0" applyFont="1" applyBorder="1"/>
    <xf numFmtId="9" fontId="5" fillId="0" borderId="25" xfId="0" applyNumberFormat="1" applyFont="1" applyBorder="1"/>
    <xf numFmtId="0" fontId="4" fillId="0" borderId="0" xfId="0" applyFont="1" applyAlignment="1">
      <alignment horizontal="center" vertical="center" wrapText="1"/>
    </xf>
    <xf numFmtId="3" fontId="5" fillId="0" borderId="25" xfId="0" applyNumberFormat="1" applyFont="1" applyBorder="1"/>
    <xf numFmtId="0" fontId="4" fillId="17" borderId="25" xfId="0" applyFont="1" applyFill="1" applyBorder="1" applyAlignment="1">
      <alignment horizontal="center" vertical="center"/>
    </xf>
    <xf numFmtId="0" fontId="4" fillId="17" borderId="26" xfId="0" applyFont="1" applyFill="1" applyBorder="1" applyAlignment="1">
      <alignment horizontal="center" vertical="center"/>
    </xf>
    <xf numFmtId="9" fontId="5" fillId="0" borderId="26" xfId="0" applyNumberFormat="1" applyFont="1" applyBorder="1"/>
    <xf numFmtId="0" fontId="4" fillId="17" borderId="24" xfId="0" applyFont="1" applyFill="1" applyBorder="1" applyAlignment="1">
      <alignment horizontal="center" vertical="center"/>
    </xf>
    <xf numFmtId="0" fontId="5" fillId="0" borderId="0" xfId="0" applyFont="1" applyAlignment="1">
      <alignment wrapText="1"/>
    </xf>
    <xf numFmtId="0" fontId="5" fillId="0" borderId="17" xfId="0" applyFont="1" applyBorder="1"/>
    <xf numFmtId="0" fontId="5" fillId="0" borderId="22" xfId="0" applyFont="1" applyBorder="1"/>
    <xf numFmtId="11" fontId="5" fillId="0" borderId="22" xfId="0" applyNumberFormat="1" applyFont="1" applyBorder="1"/>
    <xf numFmtId="0" fontId="5" fillId="15" borderId="22" xfId="0" applyFont="1" applyFill="1" applyBorder="1"/>
    <xf numFmtId="0" fontId="5" fillId="0" borderId="18" xfId="0" applyFont="1" applyBorder="1"/>
    <xf numFmtId="11" fontId="5" fillId="15" borderId="22" xfId="0" applyNumberFormat="1" applyFont="1" applyFill="1" applyBorder="1"/>
    <xf numFmtId="0" fontId="5" fillId="0" borderId="23" xfId="0" applyFont="1" applyBorder="1"/>
    <xf numFmtId="11" fontId="5" fillId="0" borderId="23" xfId="0" applyNumberFormat="1" applyFont="1" applyBorder="1"/>
    <xf numFmtId="0" fontId="5" fillId="15" borderId="23" xfId="0" applyFont="1" applyFill="1" applyBorder="1"/>
    <xf numFmtId="11" fontId="5" fillId="15" borderId="23" xfId="0" applyNumberFormat="1" applyFont="1" applyFill="1" applyBorder="1"/>
    <xf numFmtId="0" fontId="5" fillId="14" borderId="4" xfId="0" applyFont="1" applyFill="1" applyBorder="1"/>
    <xf numFmtId="0" fontId="5" fillId="14" borderId="5" xfId="0" applyFont="1" applyFill="1" applyBorder="1"/>
    <xf numFmtId="0" fontId="5" fillId="0" borderId="22" xfId="0" applyFont="1" applyBorder="1" applyAlignment="1">
      <alignment wrapText="1"/>
    </xf>
    <xf numFmtId="0" fontId="5" fillId="0" borderId="22" xfId="0" quotePrefix="1" applyFont="1" applyBorder="1"/>
    <xf numFmtId="0" fontId="9" fillId="3" borderId="1" xfId="0" applyFont="1" applyFill="1" applyBorder="1"/>
    <xf numFmtId="0" fontId="9" fillId="3" borderId="1" xfId="0" applyFont="1" applyFill="1" applyBorder="1" applyAlignment="1">
      <alignment horizontal="center"/>
    </xf>
    <xf numFmtId="0" fontId="5" fillId="0" borderId="13" xfId="0" applyFont="1" applyBorder="1" applyAlignment="1">
      <alignment horizontal="center"/>
    </xf>
    <xf numFmtId="0" fontId="17" fillId="0" borderId="3" xfId="13" applyFont="1" applyBorder="1" applyAlignment="1">
      <alignment horizontal="center" vertical="top" wrapText="1"/>
    </xf>
    <xf numFmtId="0" fontId="14" fillId="0" borderId="1" xfId="13" applyFont="1" applyBorder="1" applyAlignment="1">
      <alignment horizontal="left" vertical="top" wrapText="1" indent="1"/>
    </xf>
    <xf numFmtId="0" fontId="14" fillId="0" borderId="1" xfId="13" applyFont="1" applyBorder="1" applyAlignment="1">
      <alignment horizontal="left" vertical="center" wrapText="1" indent="1"/>
    </xf>
    <xf numFmtId="0" fontId="14" fillId="0" borderId="1" xfId="13" applyFont="1" applyBorder="1" applyAlignment="1">
      <alignment horizontal="center" vertical="center" wrapText="1"/>
    </xf>
    <xf numFmtId="0" fontId="17" fillId="0" borderId="3" xfId="13" applyFont="1" applyBorder="1" applyAlignment="1">
      <alignment horizontal="left" vertical="top" wrapText="1"/>
    </xf>
    <xf numFmtId="0" fontId="25" fillId="0" borderId="1" xfId="13" applyFont="1" applyBorder="1" applyAlignment="1">
      <alignment horizontal="left" vertical="top" wrapText="1"/>
    </xf>
    <xf numFmtId="0" fontId="17" fillId="0" borderId="3" xfId="13" applyFont="1" applyBorder="1" applyAlignment="1">
      <alignment horizontal="center" vertical="center" wrapText="1"/>
    </xf>
    <xf numFmtId="0" fontId="17" fillId="0" borderId="3" xfId="13" applyFont="1" applyBorder="1" applyAlignment="1">
      <alignment horizontal="left" vertical="center" wrapText="1" indent="1"/>
    </xf>
    <xf numFmtId="0" fontId="27" fillId="0" borderId="3" xfId="13" applyFont="1" applyBorder="1" applyAlignment="1">
      <alignment horizontal="center" vertical="top" wrapText="1"/>
    </xf>
    <xf numFmtId="0" fontId="27" fillId="0" borderId="3" xfId="13" applyFont="1" applyBorder="1" applyAlignment="1">
      <alignment horizontal="center" vertical="center" wrapText="1"/>
    </xf>
    <xf numFmtId="0" fontId="9" fillId="21" borderId="1" xfId="0" applyFont="1" applyFill="1" applyBorder="1" applyAlignment="1">
      <alignment wrapText="1"/>
    </xf>
    <xf numFmtId="0" fontId="5" fillId="22" borderId="22" xfId="0" applyFont="1" applyFill="1" applyBorder="1"/>
    <xf numFmtId="0" fontId="5" fillId="22" borderId="23" xfId="0" applyFont="1" applyFill="1" applyBorder="1"/>
    <xf numFmtId="0" fontId="9" fillId="21" borderId="4" xfId="0" applyFont="1" applyFill="1" applyBorder="1"/>
    <xf numFmtId="0" fontId="5" fillId="21" borderId="4" xfId="0" applyFont="1" applyFill="1" applyBorder="1"/>
    <xf numFmtId="0" fontId="109" fillId="0" borderId="2" xfId="0" applyFont="1" applyBorder="1"/>
    <xf numFmtId="0" fontId="5" fillId="0" borderId="2" xfId="0" applyFont="1" applyBorder="1"/>
    <xf numFmtId="3" fontId="0" fillId="0" borderId="7" xfId="0" applyNumberFormat="1" applyBorder="1"/>
    <xf numFmtId="192" fontId="6" fillId="9" borderId="14" xfId="7" applyNumberFormat="1" applyFont="1" applyFill="1" applyBorder="1" applyAlignment="1">
      <alignment horizontal="center" vertical="center"/>
    </xf>
    <xf numFmtId="192" fontId="0" fillId="0" borderId="13" xfId="0" applyNumberFormat="1" applyBorder="1" applyAlignment="1">
      <alignment horizontal="center"/>
    </xf>
    <xf numFmtId="192" fontId="5" fillId="0" borderId="13" xfId="0" applyNumberFormat="1" applyFont="1" applyBorder="1" applyAlignment="1">
      <alignment horizontal="center"/>
    </xf>
    <xf numFmtId="192" fontId="0" fillId="0" borderId="0" xfId="0" applyNumberFormat="1"/>
    <xf numFmtId="192" fontId="0" fillId="0" borderId="13" xfId="0" applyNumberFormat="1" applyBorder="1" applyAlignment="1">
      <alignment vertical="center" wrapText="1"/>
    </xf>
    <xf numFmtId="192" fontId="8" fillId="10" borderId="14" xfId="0" applyNumberFormat="1" applyFont="1" applyFill="1" applyBorder="1" applyAlignment="1">
      <alignment horizontal="center" vertical="center" wrapText="1"/>
    </xf>
    <xf numFmtId="192" fontId="0" fillId="13" borderId="13" xfId="0" applyNumberFormat="1" applyFill="1" applyBorder="1"/>
    <xf numFmtId="192" fontId="39" fillId="16" borderId="13" xfId="0" applyNumberFormat="1" applyFont="1" applyFill="1" applyBorder="1"/>
    <xf numFmtId="183" fontId="5" fillId="13" borderId="13" xfId="0" applyNumberFormat="1" applyFont="1" applyFill="1" applyBorder="1"/>
    <xf numFmtId="0" fontId="5" fillId="0" borderId="13" xfId="0" quotePrefix="1" applyFont="1" applyBorder="1"/>
    <xf numFmtId="0" fontId="47" fillId="7" borderId="60" xfId="9" applyFont="1" applyFill="1" applyBorder="1" applyAlignment="1">
      <alignment vertical="top" wrapText="1"/>
    </xf>
    <xf numFmtId="0" fontId="55" fillId="7" borderId="0" xfId="9" applyFont="1" applyFill="1" applyAlignment="1">
      <alignment vertical="top" wrapText="1"/>
    </xf>
    <xf numFmtId="0" fontId="120" fillId="7" borderId="0" xfId="9" applyFont="1" applyFill="1" applyAlignment="1">
      <alignment vertical="top"/>
    </xf>
    <xf numFmtId="0" fontId="56" fillId="19" borderId="54" xfId="9" applyFont="1" applyFill="1" applyBorder="1"/>
    <xf numFmtId="180" fontId="56" fillId="7" borderId="0" xfId="9" applyNumberFormat="1" applyFont="1" applyFill="1"/>
    <xf numFmtId="0" fontId="56" fillId="7" borderId="0" xfId="9" applyFont="1" applyFill="1" applyAlignment="1">
      <alignment vertical="center" wrapText="1"/>
    </xf>
    <xf numFmtId="0" fontId="56" fillId="0" borderId="39" xfId="9" applyFont="1" applyBorder="1"/>
    <xf numFmtId="0" fontId="56" fillId="19" borderId="55" xfId="9" applyFont="1" applyFill="1" applyBorder="1"/>
    <xf numFmtId="178" fontId="56" fillId="0" borderId="54" xfId="9" applyNumberFormat="1" applyFont="1" applyBorder="1" applyAlignment="1">
      <alignment horizontal="center"/>
    </xf>
    <xf numFmtId="0" fontId="119" fillId="7" borderId="0" xfId="9" applyFont="1" applyFill="1"/>
    <xf numFmtId="0" fontId="1" fillId="7" borderId="0" xfId="9" applyFont="1" applyFill="1"/>
    <xf numFmtId="0" fontId="124" fillId="7" borderId="0" xfId="9" applyFont="1" applyFill="1"/>
    <xf numFmtId="0" fontId="119" fillId="0" borderId="0" xfId="9" applyFont="1"/>
    <xf numFmtId="0" fontId="0" fillId="0" borderId="13" xfId="0" quotePrefix="1" applyBorder="1"/>
    <xf numFmtId="193" fontId="0" fillId="13" borderId="13" xfId="0" applyNumberFormat="1" applyFill="1" applyBorder="1"/>
    <xf numFmtId="167" fontId="6" fillId="0" borderId="0" xfId="7" applyFont="1" applyFill="1" applyBorder="1" applyAlignment="1">
      <alignment horizontal="center" vertical="center"/>
    </xf>
    <xf numFmtId="189" fontId="0" fillId="0" borderId="0" xfId="0" applyNumberFormat="1" applyAlignment="1">
      <alignment vertical="center"/>
    </xf>
    <xf numFmtId="192" fontId="0" fillId="0" borderId="0" xfId="0" applyNumberFormat="1" applyAlignment="1">
      <alignment vertical="center" wrapText="1"/>
    </xf>
    <xf numFmtId="192" fontId="0" fillId="13" borderId="13" xfId="0" applyNumberFormat="1" applyFill="1" applyBorder="1" applyAlignment="1">
      <alignment vertical="center"/>
    </xf>
    <xf numFmtId="167" fontId="6" fillId="9" borderId="14" xfId="7" applyFont="1" applyFill="1" applyBorder="1" applyAlignment="1">
      <alignment horizontal="center" vertical="center" wrapText="1"/>
    </xf>
    <xf numFmtId="167" fontId="6" fillId="9" borderId="15" xfId="7" applyFont="1" applyFill="1" applyBorder="1" applyAlignment="1">
      <alignment horizontal="center" vertical="center" wrapText="1"/>
    </xf>
    <xf numFmtId="167" fontId="6" fillId="9" borderId="26" xfId="7" applyFont="1" applyFill="1" applyBorder="1" applyAlignment="1">
      <alignment horizontal="center" vertical="center" wrapText="1"/>
    </xf>
    <xf numFmtId="0" fontId="5" fillId="0" borderId="26" xfId="0" applyFont="1" applyBorder="1"/>
    <xf numFmtId="167" fontId="6" fillId="9" borderId="25" xfId="7" applyFont="1" applyFill="1" applyBorder="1" applyAlignment="1">
      <alignment horizontal="center" vertical="center" wrapText="1"/>
    </xf>
    <xf numFmtId="41" fontId="0" fillId="0" borderId="0" xfId="0" applyNumberFormat="1" applyAlignment="1">
      <alignment horizontal="center" vertical="center"/>
    </xf>
    <xf numFmtId="4" fontId="0" fillId="0" borderId="0" xfId="0" applyNumberFormat="1" applyAlignment="1">
      <alignment vertical="center"/>
    </xf>
    <xf numFmtId="0" fontId="0" fillId="13" borderId="3" xfId="0" applyFill="1" applyBorder="1"/>
    <xf numFmtId="0" fontId="8" fillId="11" borderId="20" xfId="0" applyFont="1" applyFill="1" applyBorder="1" applyAlignment="1">
      <alignment horizontal="center" vertical="center" wrapText="1"/>
    </xf>
    <xf numFmtId="1" fontId="7" fillId="0" borderId="16" xfId="0" applyNumberFormat="1" applyFont="1" applyBorder="1" applyAlignment="1">
      <alignment horizontal="center"/>
    </xf>
    <xf numFmtId="14" fontId="7" fillId="0" borderId="16" xfId="0" applyNumberFormat="1" applyFont="1" applyBorder="1" applyAlignment="1">
      <alignment horizontal="center"/>
    </xf>
    <xf numFmtId="0" fontId="5" fillId="0" borderId="16" xfId="0" applyFont="1" applyBorder="1" applyAlignment="1">
      <alignment horizontal="center"/>
    </xf>
    <xf numFmtId="0" fontId="5" fillId="0" borderId="16" xfId="0" applyFont="1" applyBorder="1" applyAlignment="1">
      <alignment vertical="center" wrapText="1"/>
    </xf>
    <xf numFmtId="0" fontId="126" fillId="23" borderId="17" xfId="14" applyFont="1" applyFill="1" applyBorder="1" applyAlignment="1" applyProtection="1">
      <alignment vertical="center"/>
    </xf>
    <xf numFmtId="0" fontId="126" fillId="24" borderId="17" xfId="14" applyFont="1" applyFill="1" applyBorder="1" applyAlignment="1" applyProtection="1">
      <alignment vertical="center"/>
    </xf>
    <xf numFmtId="0" fontId="125" fillId="26" borderId="17" xfId="14" applyFont="1" applyFill="1" applyBorder="1" applyAlignment="1" applyProtection="1">
      <alignment vertical="center"/>
    </xf>
    <xf numFmtId="0" fontId="0" fillId="0" borderId="16" xfId="0" applyBorder="1" applyAlignment="1">
      <alignment vertical="center" wrapText="1"/>
    </xf>
    <xf numFmtId="0" fontId="126" fillId="27" borderId="17" xfId="14" applyFont="1" applyFill="1" applyBorder="1" applyAlignment="1" applyProtection="1">
      <alignment vertical="center"/>
    </xf>
    <xf numFmtId="0" fontId="126" fillId="28" borderId="17" xfId="14" applyFont="1" applyFill="1" applyBorder="1" applyAlignment="1" applyProtection="1">
      <alignment vertical="center"/>
    </xf>
    <xf numFmtId="0" fontId="126" fillId="29" borderId="17" xfId="14" applyFont="1" applyFill="1" applyBorder="1" applyAlignment="1" applyProtection="1">
      <alignment vertical="center"/>
    </xf>
    <xf numFmtId="0" fontId="0" fillId="0" borderId="16" xfId="0" applyBorder="1" applyAlignment="1">
      <alignment vertical="center"/>
    </xf>
    <xf numFmtId="0" fontId="125" fillId="12" borderId="17" xfId="14" applyFont="1" applyFill="1" applyBorder="1" applyAlignment="1" applyProtection="1">
      <alignment vertical="center"/>
    </xf>
    <xf numFmtId="0" fontId="39" fillId="25" borderId="21" xfId="0" applyFont="1" applyFill="1" applyBorder="1" applyAlignment="1">
      <alignment horizontal="center" vertical="center" wrapText="1"/>
    </xf>
    <xf numFmtId="4" fontId="39" fillId="25" borderId="21" xfId="0" applyNumberFormat="1" applyFont="1" applyFill="1" applyBorder="1" applyAlignment="1">
      <alignment horizontal="center" vertical="center" wrapText="1"/>
    </xf>
    <xf numFmtId="0" fontId="1" fillId="0" borderId="0" xfId="9" applyFont="1" applyAlignment="1">
      <alignment horizontal="left" vertical="top" wrapText="1"/>
    </xf>
    <xf numFmtId="0" fontId="39" fillId="9" borderId="1" xfId="0" applyFont="1" applyFill="1" applyBorder="1"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righ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horizontal="right" vertical="center"/>
    </xf>
    <xf numFmtId="0" fontId="0" fillId="4" borderId="1" xfId="0" applyFill="1" applyBorder="1" applyAlignment="1">
      <alignment horizontal="right" vertical="center"/>
    </xf>
    <xf numFmtId="0" fontId="0" fillId="4" borderId="3" xfId="0" applyFill="1" applyBorder="1" applyAlignment="1">
      <alignment horizontal="right" vertical="center"/>
    </xf>
    <xf numFmtId="0" fontId="0" fillId="0" borderId="11" xfId="0" applyBorder="1" applyAlignment="1">
      <alignment horizontal="center" wrapText="1"/>
    </xf>
    <xf numFmtId="0" fontId="12" fillId="0" borderId="3" xfId="2" applyFont="1" applyBorder="1" applyAlignment="1">
      <alignment horizontal="center" vertical="top" wrapText="1"/>
    </xf>
    <xf numFmtId="0" fontId="11" fillId="0" borderId="4" xfId="2" applyBorder="1" applyAlignment="1">
      <alignment horizontal="center" vertical="top" wrapText="1"/>
    </xf>
    <xf numFmtId="0" fontId="11" fillId="0" borderId="5" xfId="2" applyBorder="1" applyAlignment="1">
      <alignment horizontal="center" vertical="top" wrapText="1"/>
    </xf>
    <xf numFmtId="0" fontId="17" fillId="0" borderId="6" xfId="2" applyFont="1" applyBorder="1" applyAlignment="1">
      <alignment horizontal="left" vertical="center" wrapText="1"/>
    </xf>
    <xf numFmtId="0" fontId="17" fillId="0" borderId="7" xfId="2" applyFont="1" applyBorder="1" applyAlignment="1">
      <alignment horizontal="left" vertical="center" wrapText="1"/>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6" xfId="2" applyFont="1" applyBorder="1" applyAlignment="1">
      <alignment horizontal="center" vertical="top" wrapText="1"/>
    </xf>
    <xf numFmtId="0" fontId="17" fillId="0" borderId="7" xfId="2" applyFont="1" applyBorder="1" applyAlignment="1">
      <alignment horizontal="center" vertical="top" wrapText="1"/>
    </xf>
    <xf numFmtId="0" fontId="17" fillId="0" borderId="8" xfId="2" applyFont="1" applyBorder="1" applyAlignment="1">
      <alignment horizontal="center" vertical="top" wrapText="1"/>
    </xf>
    <xf numFmtId="0" fontId="17" fillId="0" borderId="9" xfId="2" applyFont="1" applyBorder="1" applyAlignment="1">
      <alignment horizontal="center" vertical="top" wrapText="1"/>
    </xf>
    <xf numFmtId="0" fontId="17" fillId="0" borderId="3" xfId="2" applyFont="1" applyBorder="1" applyAlignment="1">
      <alignment horizontal="center" vertical="top" wrapText="1"/>
    </xf>
    <xf numFmtId="0" fontId="17" fillId="0" borderId="4" xfId="2" applyFont="1" applyBorder="1" applyAlignment="1">
      <alignment horizontal="center" vertical="top" wrapText="1"/>
    </xf>
    <xf numFmtId="0" fontId="17" fillId="0" borderId="5" xfId="2" applyFont="1" applyBorder="1" applyAlignment="1">
      <alignment horizontal="center" vertical="top" wrapText="1"/>
    </xf>
    <xf numFmtId="0" fontId="19" fillId="0" borderId="3" xfId="2" applyFont="1" applyBorder="1" applyAlignment="1">
      <alignment horizontal="left" vertical="center" wrapText="1"/>
    </xf>
    <xf numFmtId="0" fontId="19" fillId="0" borderId="5" xfId="2" applyFont="1" applyBorder="1" applyAlignment="1">
      <alignment horizontal="left" vertical="center" wrapText="1"/>
    </xf>
    <xf numFmtId="0" fontId="20" fillId="0" borderId="3" xfId="2" applyFont="1" applyBorder="1" applyAlignment="1">
      <alignment horizontal="left" vertical="top" wrapText="1"/>
    </xf>
    <xf numFmtId="0" fontId="20" fillId="0" borderId="5" xfId="2" applyFont="1" applyBorder="1" applyAlignment="1">
      <alignment horizontal="left" vertical="top" wrapText="1"/>
    </xf>
    <xf numFmtId="0" fontId="19" fillId="0" borderId="2" xfId="2" applyFont="1" applyBorder="1" applyAlignment="1">
      <alignment horizontal="left" vertical="center" textRotation="90" wrapText="1"/>
    </xf>
    <xf numFmtId="0" fontId="19" fillId="0" borderId="10" xfId="2" applyFont="1" applyBorder="1" applyAlignment="1">
      <alignment horizontal="left" vertical="center" textRotation="90" wrapText="1"/>
    </xf>
    <xf numFmtId="0" fontId="19" fillId="0" borderId="11" xfId="2" applyFont="1" applyBorder="1" applyAlignment="1">
      <alignment horizontal="left" vertical="center" textRotation="90" wrapText="1"/>
    </xf>
    <xf numFmtId="0" fontId="20" fillId="0" borderId="2" xfId="2" applyFont="1" applyBorder="1" applyAlignment="1">
      <alignment horizontal="left" textRotation="90" wrapText="1"/>
    </xf>
    <xf numFmtId="0" fontId="20" fillId="0" borderId="10" xfId="2" applyFont="1" applyBorder="1" applyAlignment="1">
      <alignment horizontal="left" textRotation="90" wrapText="1"/>
    </xf>
    <xf numFmtId="0" fontId="20" fillId="0" borderId="11" xfId="2" applyFont="1" applyBorder="1" applyAlignment="1">
      <alignment horizontal="left" textRotation="90" wrapText="1"/>
    </xf>
    <xf numFmtId="0" fontId="20" fillId="0" borderId="3" xfId="2" applyFont="1" applyBorder="1" applyAlignment="1">
      <alignment horizontal="left" vertical="center" wrapText="1"/>
    </xf>
    <xf numFmtId="0" fontId="20" fillId="0" borderId="5" xfId="2" applyFont="1" applyBorder="1" applyAlignment="1">
      <alignment horizontal="left" vertical="center" wrapText="1"/>
    </xf>
    <xf numFmtId="0" fontId="19" fillId="4" borderId="3" xfId="2" applyFont="1" applyFill="1" applyBorder="1" applyAlignment="1">
      <alignment horizontal="left" vertical="center" wrapText="1"/>
    </xf>
    <xf numFmtId="0" fontId="19" fillId="4" borderId="5" xfId="2" applyFont="1" applyFill="1" applyBorder="1" applyAlignment="1">
      <alignment horizontal="left" vertical="center" wrapText="1"/>
    </xf>
    <xf numFmtId="0" fontId="20" fillId="4" borderId="3" xfId="2" applyFont="1" applyFill="1" applyBorder="1" applyAlignment="1">
      <alignment horizontal="left" vertical="center" wrapText="1"/>
    </xf>
    <xf numFmtId="0" fontId="20" fillId="4" borderId="5" xfId="2" applyFont="1" applyFill="1" applyBorder="1" applyAlignment="1">
      <alignment horizontal="left" vertical="center" wrapText="1"/>
    </xf>
    <xf numFmtId="0" fontId="20" fillId="0" borderId="6" xfId="2" applyFont="1" applyBorder="1" applyAlignment="1">
      <alignment horizontal="center" vertical="center" textRotation="90" wrapText="1"/>
    </xf>
    <xf numFmtId="0" fontId="20" fillId="0" borderId="12" xfId="2" applyFont="1" applyBorder="1" applyAlignment="1">
      <alignment horizontal="center" vertical="center" textRotation="90" wrapText="1"/>
    </xf>
    <xf numFmtId="0" fontId="20" fillId="0" borderId="8" xfId="2" applyFont="1" applyBorder="1" applyAlignment="1">
      <alignment horizontal="center" vertical="center" textRotation="90" wrapText="1"/>
    </xf>
    <xf numFmtId="0" fontId="20" fillId="0" borderId="2" xfId="2" applyFont="1" applyBorder="1" applyAlignment="1">
      <alignment horizontal="center" vertical="center" wrapText="1"/>
    </xf>
    <xf numFmtId="0" fontId="20" fillId="0" borderId="11" xfId="2" applyFont="1" applyBorder="1" applyAlignment="1">
      <alignment horizontal="center" vertical="center" wrapText="1"/>
    </xf>
    <xf numFmtId="0" fontId="20" fillId="0" borderId="3" xfId="2" applyFont="1" applyBorder="1" applyAlignment="1">
      <alignment horizontal="center" vertical="center" wrapText="1"/>
    </xf>
    <xf numFmtId="0" fontId="20" fillId="0" borderId="5" xfId="2" applyFont="1" applyBorder="1" applyAlignment="1">
      <alignment horizontal="center" vertical="center" wrapText="1"/>
    </xf>
    <xf numFmtId="3" fontId="21" fillId="4" borderId="2" xfId="2" applyNumberFormat="1" applyFont="1" applyFill="1" applyBorder="1" applyAlignment="1">
      <alignment horizontal="center" vertical="center" shrinkToFit="1"/>
    </xf>
    <xf numFmtId="3" fontId="21" fillId="4" borderId="11" xfId="2" applyNumberFormat="1" applyFont="1" applyFill="1" applyBorder="1" applyAlignment="1">
      <alignment horizontal="center" vertical="center" shrinkToFit="1"/>
    </xf>
    <xf numFmtId="3" fontId="21" fillId="0" borderId="2" xfId="2" applyNumberFormat="1" applyFont="1" applyBorder="1" applyAlignment="1">
      <alignment horizontal="center" vertical="center" shrinkToFit="1"/>
    </xf>
    <xf numFmtId="3" fontId="21" fillId="0" borderId="11" xfId="2" applyNumberFormat="1" applyFont="1" applyBorder="1" applyAlignment="1">
      <alignment horizontal="center" vertical="center" shrinkToFit="1"/>
    </xf>
    <xf numFmtId="165" fontId="21" fillId="4" borderId="6" xfId="2" applyNumberFormat="1" applyFont="1" applyFill="1" applyBorder="1" applyAlignment="1">
      <alignment horizontal="center" vertical="center" shrinkToFit="1"/>
    </xf>
    <xf numFmtId="165" fontId="21" fillId="4" borderId="8" xfId="2" applyNumberFormat="1" applyFont="1" applyFill="1" applyBorder="1" applyAlignment="1">
      <alignment horizontal="center" vertical="center" shrinkToFit="1"/>
    </xf>
    <xf numFmtId="165" fontId="21" fillId="0" borderId="2" xfId="2" applyNumberFormat="1" applyFont="1" applyBorder="1" applyAlignment="1">
      <alignment horizontal="center" vertical="center" shrinkToFit="1"/>
    </xf>
    <xf numFmtId="165" fontId="21" fillId="0" borderId="11" xfId="2" applyNumberFormat="1" applyFont="1" applyBorder="1" applyAlignment="1">
      <alignment horizontal="center" vertical="center" shrinkToFit="1"/>
    </xf>
    <xf numFmtId="1" fontId="21" fillId="0" borderId="2" xfId="2" applyNumberFormat="1" applyFont="1" applyBorder="1" applyAlignment="1">
      <alignment horizontal="center" vertical="center" shrinkToFit="1"/>
    </xf>
    <xf numFmtId="1" fontId="21" fillId="0" borderId="11" xfId="2" applyNumberFormat="1" applyFont="1" applyBorder="1" applyAlignment="1">
      <alignment horizontal="center" vertical="center" shrinkToFit="1"/>
    </xf>
    <xf numFmtId="1" fontId="21" fillId="4" borderId="6" xfId="2" applyNumberFormat="1" applyFont="1" applyFill="1" applyBorder="1" applyAlignment="1">
      <alignment horizontal="center" vertical="center" shrinkToFit="1"/>
    </xf>
    <xf numFmtId="1" fontId="21" fillId="4" borderId="8" xfId="2" applyNumberFormat="1" applyFont="1" applyFill="1" applyBorder="1" applyAlignment="1">
      <alignment horizontal="center" vertical="center" shrinkToFit="1"/>
    </xf>
    <xf numFmtId="0" fontId="19" fillId="0" borderId="3" xfId="2" applyFont="1" applyBorder="1" applyAlignment="1">
      <alignment horizontal="left" vertical="top" wrapText="1"/>
    </xf>
    <xf numFmtId="0" fontId="19" fillId="0" borderId="5" xfId="2" applyFont="1" applyBorder="1" applyAlignment="1">
      <alignment horizontal="left" vertical="top" wrapText="1"/>
    </xf>
    <xf numFmtId="0" fontId="19" fillId="0" borderId="2" xfId="2" applyFont="1" applyBorder="1" applyAlignment="1">
      <alignment horizontal="center" vertical="center" textRotation="90" wrapText="1"/>
    </xf>
    <xf numFmtId="0" fontId="19" fillId="0" borderId="11" xfId="2" applyFont="1" applyBorder="1" applyAlignment="1">
      <alignment horizontal="center" vertical="center" textRotation="90" wrapText="1"/>
    </xf>
    <xf numFmtId="0" fontId="20" fillId="0" borderId="2" xfId="2" applyFont="1" applyBorder="1" applyAlignment="1">
      <alignment horizontal="center" vertical="center" textRotation="90" wrapText="1"/>
    </xf>
    <xf numFmtId="0" fontId="20" fillId="0" borderId="11" xfId="2" applyFont="1" applyBorder="1" applyAlignment="1">
      <alignment horizontal="center" vertical="center" textRotation="90" wrapText="1"/>
    </xf>
    <xf numFmtId="0" fontId="19" fillId="0" borderId="2" xfId="2" applyFont="1" applyBorder="1" applyAlignment="1">
      <alignment horizontal="left" textRotation="90" wrapText="1"/>
    </xf>
    <xf numFmtId="0" fontId="19" fillId="0" borderId="10" xfId="2" applyFont="1" applyBorder="1" applyAlignment="1">
      <alignment horizontal="left" textRotation="90" wrapText="1"/>
    </xf>
    <xf numFmtId="0" fontId="19" fillId="0" borderId="11" xfId="2" applyFont="1" applyBorder="1" applyAlignment="1">
      <alignment horizontal="left" textRotation="90" wrapText="1"/>
    </xf>
    <xf numFmtId="0" fontId="20" fillId="0" borderId="10" xfId="2" applyFont="1" applyBorder="1" applyAlignment="1">
      <alignment horizontal="center" vertical="center" textRotation="90" wrapText="1"/>
    </xf>
    <xf numFmtId="0" fontId="19" fillId="3" borderId="3" xfId="2" applyFont="1" applyFill="1" applyBorder="1" applyAlignment="1">
      <alignment horizontal="left" vertical="top" wrapText="1"/>
    </xf>
    <xf numFmtId="0" fontId="19" fillId="3" borderId="5" xfId="2" applyFont="1" applyFill="1" applyBorder="1" applyAlignment="1">
      <alignment horizontal="left" vertical="top" wrapText="1"/>
    </xf>
    <xf numFmtId="0" fontId="11" fillId="0" borderId="3" xfId="2" applyBorder="1" applyAlignment="1">
      <alignment horizontal="left" vertical="top" wrapText="1"/>
    </xf>
    <xf numFmtId="0" fontId="11" fillId="0" borderId="4" xfId="2" applyBorder="1" applyAlignment="1">
      <alignment horizontal="left" vertical="top" wrapText="1"/>
    </xf>
    <xf numFmtId="0" fontId="11" fillId="0" borderId="5" xfId="2" applyBorder="1" applyAlignment="1">
      <alignment horizontal="left" vertical="top" wrapText="1"/>
    </xf>
    <xf numFmtId="0" fontId="5" fillId="0" borderId="3" xfId="0" applyFont="1"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wrapText="1"/>
    </xf>
    <xf numFmtId="0" fontId="5" fillId="0" borderId="1" xfId="0" applyFont="1" applyBorder="1" applyAlignment="1">
      <alignment horizontal="center" wrapText="1"/>
    </xf>
    <xf numFmtId="0" fontId="0" fillId="0" borderId="1" xfId="0" applyBorder="1" applyAlignment="1">
      <alignment horizontal="left" wrapText="1"/>
    </xf>
    <xf numFmtId="0" fontId="31" fillId="8" borderId="13" xfId="5" applyFont="1" applyFill="1" applyBorder="1" applyAlignment="1">
      <alignment horizontal="center" vertical="center"/>
    </xf>
    <xf numFmtId="0" fontId="34" fillId="8" borderId="13" xfId="4" applyFont="1" applyFill="1" applyBorder="1" applyAlignment="1">
      <alignment horizontal="center" vertical="center" wrapText="1"/>
    </xf>
    <xf numFmtId="0" fontId="34" fillId="8" borderId="13" xfId="4" applyFont="1" applyFill="1" applyBorder="1" applyAlignment="1">
      <alignment horizontal="center" vertical="center"/>
    </xf>
    <xf numFmtId="0" fontId="0" fillId="0" borderId="3" xfId="0" applyBorder="1" applyAlignment="1">
      <alignment horizontal="right"/>
    </xf>
    <xf numFmtId="0" fontId="0" fillId="0" borderId="5" xfId="0" applyBorder="1" applyAlignment="1">
      <alignment horizontal="right"/>
    </xf>
    <xf numFmtId="0" fontId="0" fillId="0" borderId="2" xfId="0" applyBorder="1" applyAlignment="1">
      <alignment horizontal="center" textRotation="90"/>
    </xf>
    <xf numFmtId="0" fontId="0" fillId="0" borderId="10" xfId="0" applyBorder="1" applyAlignment="1">
      <alignment horizontal="center" textRotation="90"/>
    </xf>
    <xf numFmtId="0" fontId="0" fillId="0" borderId="11" xfId="0" applyBorder="1" applyAlignment="1">
      <alignment horizontal="center" textRotation="90"/>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vertical="center" wrapText="1"/>
    </xf>
    <xf numFmtId="0" fontId="25" fillId="0" borderId="3" xfId="13" applyFont="1" applyBorder="1" applyAlignment="1">
      <alignment horizontal="left" vertical="top" wrapText="1"/>
    </xf>
    <xf numFmtId="0" fontId="25" fillId="0" borderId="5" xfId="13" applyFont="1" applyBorder="1" applyAlignment="1">
      <alignment horizontal="left" vertical="top" wrapText="1"/>
    </xf>
    <xf numFmtId="165" fontId="113" fillId="0" borderId="3" xfId="13" applyNumberFormat="1" applyFont="1" applyBorder="1" applyAlignment="1">
      <alignment horizontal="center" vertical="top" shrinkToFit="1"/>
    </xf>
    <xf numFmtId="165" fontId="113" fillId="0" borderId="5" xfId="13" applyNumberFormat="1" applyFont="1" applyBorder="1" applyAlignment="1">
      <alignment horizontal="center" vertical="top" shrinkToFit="1"/>
    </xf>
    <xf numFmtId="0" fontId="114" fillId="0" borderId="2" xfId="13" applyFont="1" applyBorder="1" applyAlignment="1">
      <alignment horizontal="center" vertical="center" textRotation="90" wrapText="1"/>
    </xf>
    <xf numFmtId="0" fontId="114" fillId="0" borderId="10" xfId="13" applyFont="1" applyBorder="1" applyAlignment="1">
      <alignment horizontal="center" vertical="center" textRotation="90" wrapText="1"/>
    </xf>
    <xf numFmtId="0" fontId="114" fillId="0" borderId="11" xfId="13" applyFont="1" applyBorder="1" applyAlignment="1">
      <alignment horizontal="center" vertical="center" textRotation="90" wrapText="1"/>
    </xf>
    <xf numFmtId="165" fontId="113" fillId="0" borderId="3" xfId="13" applyNumberFormat="1" applyFont="1" applyBorder="1" applyAlignment="1">
      <alignment horizontal="center" vertical="center" shrinkToFit="1"/>
    </xf>
    <xf numFmtId="165" fontId="113" fillId="0" borderId="5" xfId="13" applyNumberFormat="1" applyFont="1" applyBorder="1" applyAlignment="1">
      <alignment horizontal="center" vertical="center" shrinkToFit="1"/>
    </xf>
    <xf numFmtId="0" fontId="25" fillId="0" borderId="2" xfId="13" applyFont="1" applyBorder="1" applyAlignment="1">
      <alignment horizontal="left" textRotation="90" wrapText="1"/>
    </xf>
    <xf numFmtId="0" fontId="25" fillId="0" borderId="10" xfId="13" applyFont="1" applyBorder="1" applyAlignment="1">
      <alignment horizontal="left" textRotation="90" wrapText="1"/>
    </xf>
    <xf numFmtId="0" fontId="25" fillId="0" borderId="11" xfId="13" applyFont="1" applyBorder="1" applyAlignment="1">
      <alignment horizontal="left" textRotation="90" wrapText="1"/>
    </xf>
    <xf numFmtId="1" fontId="113" fillId="0" borderId="3" xfId="13" applyNumberFormat="1" applyFont="1" applyBorder="1" applyAlignment="1">
      <alignment horizontal="center" vertical="top" shrinkToFit="1"/>
    </xf>
    <xf numFmtId="1" fontId="113" fillId="0" borderId="5" xfId="13" applyNumberFormat="1" applyFont="1" applyBorder="1" applyAlignment="1">
      <alignment horizontal="center" vertical="top" shrinkToFit="1"/>
    </xf>
    <xf numFmtId="1" fontId="113" fillId="0" borderId="3" xfId="13" applyNumberFormat="1" applyFont="1" applyBorder="1" applyAlignment="1">
      <alignment horizontal="center" vertical="center" shrinkToFit="1"/>
    </xf>
    <xf numFmtId="1" fontId="113" fillId="0" borderId="5" xfId="13" applyNumberFormat="1" applyFont="1" applyBorder="1" applyAlignment="1">
      <alignment horizontal="center" vertical="center" shrinkToFit="1"/>
    </xf>
    <xf numFmtId="1" fontId="112" fillId="0" borderId="3" xfId="13" applyNumberFormat="1" applyFont="1" applyBorder="1" applyAlignment="1">
      <alignment horizontal="center" vertical="center" shrinkToFit="1"/>
    </xf>
    <xf numFmtId="1" fontId="112" fillId="0" borderId="5" xfId="13" applyNumberFormat="1" applyFont="1" applyBorder="1" applyAlignment="1">
      <alignment horizontal="center" vertical="center" shrinkToFit="1"/>
    </xf>
    <xf numFmtId="0" fontId="110" fillId="0" borderId="3" xfId="13" applyBorder="1" applyAlignment="1">
      <alignment horizontal="left" vertical="top" wrapText="1"/>
    </xf>
    <xf numFmtId="0" fontId="110" fillId="0" borderId="4" xfId="13" applyBorder="1" applyAlignment="1">
      <alignment horizontal="left" vertical="top" wrapText="1"/>
    </xf>
    <xf numFmtId="0" fontId="110" fillId="0" borderId="5" xfId="13" applyBorder="1" applyAlignment="1">
      <alignment horizontal="left" vertical="top" wrapText="1"/>
    </xf>
    <xf numFmtId="0" fontId="25" fillId="0" borderId="2" xfId="13" applyFont="1" applyBorder="1" applyAlignment="1">
      <alignment horizontal="center" vertical="center" textRotation="90" wrapText="1"/>
    </xf>
    <xf numFmtId="0" fontId="25" fillId="0" borderId="11" xfId="13" applyFont="1" applyBorder="1" applyAlignment="1">
      <alignment horizontal="center" vertical="center" textRotation="90" wrapText="1"/>
    </xf>
    <xf numFmtId="0" fontId="114" fillId="0" borderId="2" xfId="13" applyFont="1" applyBorder="1" applyAlignment="1">
      <alignment horizontal="left" textRotation="90" wrapText="1"/>
    </xf>
    <xf numFmtId="0" fontId="114" fillId="0" borderId="10" xfId="13" applyFont="1" applyBorder="1" applyAlignment="1">
      <alignment horizontal="left" textRotation="90" wrapText="1"/>
    </xf>
    <xf numFmtId="0" fontId="114" fillId="0" borderId="11" xfId="13" applyFont="1" applyBorder="1" applyAlignment="1">
      <alignment horizontal="left" textRotation="90" wrapText="1"/>
    </xf>
    <xf numFmtId="165" fontId="112" fillId="0" borderId="3" xfId="13" applyNumberFormat="1" applyFont="1" applyBorder="1" applyAlignment="1">
      <alignment horizontal="center" vertical="top" shrinkToFit="1"/>
    </xf>
    <xf numFmtId="165" fontId="112" fillId="0" borderId="5" xfId="13" applyNumberFormat="1" applyFont="1" applyBorder="1" applyAlignment="1">
      <alignment horizontal="center" vertical="top" shrinkToFit="1"/>
    </xf>
    <xf numFmtId="165" fontId="112" fillId="0" borderId="3" xfId="13" applyNumberFormat="1" applyFont="1" applyBorder="1" applyAlignment="1">
      <alignment horizontal="center" vertical="center" shrinkToFit="1"/>
    </xf>
    <xf numFmtId="165" fontId="112" fillId="0" borderId="5" xfId="13" applyNumberFormat="1" applyFont="1" applyBorder="1" applyAlignment="1">
      <alignment horizontal="center" vertical="center" shrinkToFit="1"/>
    </xf>
    <xf numFmtId="0" fontId="20" fillId="0" borderId="3" xfId="13" applyFont="1" applyBorder="1" applyAlignment="1">
      <alignment horizontal="left" vertical="top" wrapText="1"/>
    </xf>
    <xf numFmtId="0" fontId="20" fillId="0" borderId="5" xfId="13" applyFont="1" applyBorder="1" applyAlignment="1">
      <alignment horizontal="left" vertical="top" wrapText="1"/>
    </xf>
    <xf numFmtId="1" fontId="112" fillId="0" borderId="3" xfId="13" applyNumberFormat="1" applyFont="1" applyBorder="1" applyAlignment="1">
      <alignment horizontal="center" vertical="top" shrinkToFit="1"/>
    </xf>
    <xf numFmtId="1" fontId="112" fillId="0" borderId="5" xfId="13" applyNumberFormat="1" applyFont="1" applyBorder="1" applyAlignment="1">
      <alignment horizontal="center" vertical="top" shrinkToFit="1"/>
    </xf>
    <xf numFmtId="0" fontId="114" fillId="0" borderId="3" xfId="13" applyFont="1" applyBorder="1" applyAlignment="1">
      <alignment horizontal="left" vertical="top" wrapText="1"/>
    </xf>
    <xf numFmtId="0" fontId="114" fillId="0" borderId="5" xfId="13" applyFont="1" applyBorder="1" applyAlignment="1">
      <alignment horizontal="left" vertical="top" wrapText="1"/>
    </xf>
    <xf numFmtId="0" fontId="20" fillId="0" borderId="2" xfId="13" applyFont="1" applyBorder="1" applyAlignment="1">
      <alignment horizontal="left" textRotation="90" wrapText="1"/>
    </xf>
    <xf numFmtId="0" fontId="20" fillId="0" borderId="10" xfId="13" applyFont="1" applyBorder="1" applyAlignment="1">
      <alignment horizontal="left" textRotation="90" wrapText="1"/>
    </xf>
    <xf numFmtId="0" fontId="20" fillId="0" borderId="11" xfId="13" applyFont="1" applyBorder="1" applyAlignment="1">
      <alignment horizontal="left" textRotation="90" wrapText="1"/>
    </xf>
    <xf numFmtId="0" fontId="117" fillId="0" borderId="3" xfId="13" applyFont="1" applyBorder="1" applyAlignment="1">
      <alignment horizontal="center" vertical="top" wrapText="1"/>
    </xf>
    <xf numFmtId="0" fontId="110" fillId="0" borderId="4" xfId="13" applyBorder="1" applyAlignment="1">
      <alignment horizontal="center" vertical="top" wrapText="1"/>
    </xf>
    <xf numFmtId="0" fontId="110" fillId="0" borderId="5" xfId="13" applyBorder="1" applyAlignment="1">
      <alignment horizontal="center" vertical="top" wrapText="1"/>
    </xf>
    <xf numFmtId="0" fontId="17" fillId="0" borderId="6" xfId="13" applyFont="1" applyBorder="1" applyAlignment="1">
      <alignment horizontal="left" vertical="center" wrapText="1" indent="1"/>
    </xf>
    <xf numFmtId="0" fontId="17" fillId="0" borderId="7" xfId="13" applyFont="1" applyBorder="1" applyAlignment="1">
      <alignment horizontal="left" vertical="center" wrapText="1" indent="1"/>
    </xf>
    <xf numFmtId="0" fontId="17" fillId="0" borderId="8" xfId="13" applyFont="1" applyBorder="1" applyAlignment="1">
      <alignment horizontal="left" vertical="center" wrapText="1" indent="1"/>
    </xf>
    <xf numFmtId="0" fontId="17" fillId="0" borderId="9" xfId="13" applyFont="1" applyBorder="1" applyAlignment="1">
      <alignment horizontal="left" vertical="center" wrapText="1" indent="1"/>
    </xf>
    <xf numFmtId="0" fontId="17" fillId="0" borderId="3" xfId="13" applyFont="1" applyBorder="1" applyAlignment="1">
      <alignment horizontal="center" vertical="top" wrapText="1"/>
    </xf>
    <xf numFmtId="0" fontId="17" fillId="0" borderId="4" xfId="13" applyFont="1" applyBorder="1" applyAlignment="1">
      <alignment horizontal="center" vertical="top" wrapText="1"/>
    </xf>
    <xf numFmtId="0" fontId="17" fillId="0" borderId="5" xfId="13" applyFont="1" applyBorder="1" applyAlignment="1">
      <alignment horizontal="center" vertical="top" wrapText="1"/>
    </xf>
    <xf numFmtId="0" fontId="14" fillId="0" borderId="3" xfId="13" applyFont="1" applyBorder="1" applyAlignment="1">
      <alignment horizontal="left" vertical="top" wrapText="1" indent="1"/>
    </xf>
    <xf numFmtId="0" fontId="14" fillId="0" borderId="5" xfId="13" applyFont="1" applyBorder="1" applyAlignment="1">
      <alignment horizontal="left" vertical="top" wrapText="1" indent="1"/>
    </xf>
    <xf numFmtId="0" fontId="56" fillId="19" borderId="35" xfId="9" applyFont="1" applyFill="1" applyBorder="1" applyAlignment="1">
      <alignment vertical="center"/>
    </xf>
    <xf numFmtId="0" fontId="54" fillId="0" borderId="32" xfId="9" applyFont="1" applyBorder="1" applyAlignment="1">
      <alignment horizontal="left" vertical="top" wrapText="1"/>
    </xf>
    <xf numFmtId="0" fontId="54" fillId="0" borderId="33" xfId="9" applyFont="1" applyBorder="1" applyAlignment="1">
      <alignment horizontal="left" vertical="top" wrapText="1"/>
    </xf>
    <xf numFmtId="0" fontId="54" fillId="0" borderId="34" xfId="9" applyFont="1" applyBorder="1" applyAlignment="1">
      <alignment horizontal="left" vertical="top" wrapText="1"/>
    </xf>
    <xf numFmtId="0" fontId="47" fillId="7" borderId="0" xfId="9" applyFont="1" applyFill="1" applyAlignment="1">
      <alignment horizontal="left" vertical="top" wrapText="1"/>
    </xf>
    <xf numFmtId="0" fontId="55" fillId="7" borderId="0" xfId="9" applyFont="1" applyFill="1" applyAlignment="1">
      <alignment horizontal="left" vertical="top" wrapText="1"/>
    </xf>
    <xf numFmtId="0" fontId="59" fillId="7" borderId="0" xfId="9" applyFont="1" applyFill="1" applyAlignment="1">
      <alignment horizontal="left" vertical="top" wrapText="1"/>
    </xf>
    <xf numFmtId="0" fontId="60" fillId="7" borderId="0" xfId="9" applyFont="1" applyFill="1" applyAlignment="1">
      <alignment vertical="top"/>
    </xf>
    <xf numFmtId="0" fontId="47" fillId="7" borderId="0" xfId="9" applyFont="1" applyFill="1" applyAlignment="1">
      <alignment horizontal="left" wrapText="1"/>
    </xf>
    <xf numFmtId="0" fontId="54" fillId="7" borderId="0" xfId="9" applyFont="1" applyFill="1" applyAlignment="1">
      <alignment horizontal="left" vertical="top" wrapText="1"/>
    </xf>
    <xf numFmtId="0" fontId="54" fillId="0" borderId="36" xfId="9" applyFont="1" applyBorder="1" applyAlignment="1">
      <alignment horizontal="left" vertical="top" wrapText="1"/>
    </xf>
    <xf numFmtId="0" fontId="54" fillId="0" borderId="37" xfId="9" applyFont="1" applyBorder="1" applyAlignment="1">
      <alignment horizontal="left" vertical="top" wrapText="1"/>
    </xf>
    <xf numFmtId="0" fontId="54" fillId="0" borderId="38" xfId="9" applyFont="1" applyBorder="1" applyAlignment="1">
      <alignment horizontal="left" vertical="top" wrapText="1"/>
    </xf>
    <xf numFmtId="0" fontId="47" fillId="0" borderId="0" xfId="9" applyFont="1" applyAlignment="1">
      <alignment horizontal="left" vertical="top" wrapText="1"/>
    </xf>
    <xf numFmtId="0" fontId="55" fillId="0" borderId="0" xfId="9" applyFont="1" applyAlignment="1">
      <alignment horizontal="left" vertical="top" wrapText="1"/>
    </xf>
    <xf numFmtId="0" fontId="44" fillId="7" borderId="0" xfId="9" applyFill="1"/>
    <xf numFmtId="0" fontId="56" fillId="19" borderId="14" xfId="9" applyFont="1" applyFill="1" applyBorder="1" applyAlignment="1">
      <alignment horizontal="center" vertical="center"/>
    </xf>
    <xf numFmtId="0" fontId="56" fillId="19" borderId="15" xfId="9" applyFont="1" applyFill="1" applyBorder="1" applyAlignment="1">
      <alignment horizontal="center" vertical="center"/>
    </xf>
    <xf numFmtId="0" fontId="56" fillId="19" borderId="18" xfId="9" applyFont="1" applyFill="1" applyBorder="1" applyAlignment="1">
      <alignment horizontal="center" vertical="center"/>
    </xf>
    <xf numFmtId="0" fontId="56" fillId="19" borderId="35" xfId="9" applyFont="1" applyFill="1" applyBorder="1" applyAlignment="1">
      <alignment vertical="center" wrapText="1"/>
    </xf>
    <xf numFmtId="0" fontId="66" fillId="7" borderId="0" xfId="9" applyFont="1" applyFill="1" applyAlignment="1">
      <alignment horizontal="left" vertical="top" wrapText="1"/>
    </xf>
    <xf numFmtId="0" fontId="71" fillId="7" borderId="0" xfId="9" applyFont="1" applyFill="1" applyAlignment="1">
      <alignment horizontal="left" vertical="top" wrapText="1"/>
    </xf>
    <xf numFmtId="0" fontId="56" fillId="7" borderId="0" xfId="9" applyFont="1" applyFill="1" applyAlignment="1">
      <alignment horizontal="left" vertical="top" wrapText="1"/>
    </xf>
    <xf numFmtId="0" fontId="48" fillId="7" borderId="0" xfId="10" quotePrefix="1" applyFill="1" applyAlignment="1" applyProtection="1">
      <alignment horizontal="left" vertical="top" wrapText="1"/>
    </xf>
    <xf numFmtId="0" fontId="56" fillId="19" borderId="39" xfId="9" applyFont="1" applyFill="1" applyBorder="1" applyAlignment="1">
      <alignment horizontal="left" vertical="center" wrapText="1"/>
    </xf>
    <xf numFmtId="0" fontId="56" fillId="19" borderId="40" xfId="9" applyFont="1" applyFill="1" applyBorder="1" applyAlignment="1">
      <alignment horizontal="left" vertical="center" wrapText="1"/>
    </xf>
    <xf numFmtId="0" fontId="56" fillId="19" borderId="41" xfId="9" applyFont="1" applyFill="1" applyBorder="1" applyAlignment="1">
      <alignment horizontal="left" vertical="center" wrapText="1"/>
    </xf>
    <xf numFmtId="0" fontId="56" fillId="19" borderId="39" xfId="9" applyFont="1" applyFill="1" applyBorder="1" applyAlignment="1">
      <alignment horizontal="center" vertical="center"/>
    </xf>
    <xf numFmtId="0" fontId="56" fillId="19" borderId="40" xfId="9" applyFont="1" applyFill="1" applyBorder="1" applyAlignment="1">
      <alignment horizontal="center" vertical="center"/>
    </xf>
    <xf numFmtId="0" fontId="56" fillId="19" borderId="41" xfId="9" applyFont="1" applyFill="1" applyBorder="1" applyAlignment="1">
      <alignment horizontal="center" vertical="center"/>
    </xf>
    <xf numFmtId="0" fontId="56" fillId="19" borderId="39" xfId="9" applyFont="1" applyFill="1" applyBorder="1" applyAlignment="1">
      <alignment vertical="center" wrapText="1"/>
    </xf>
    <xf numFmtId="0" fontId="56" fillId="19" borderId="40" xfId="9" applyFont="1" applyFill="1" applyBorder="1" applyAlignment="1">
      <alignment vertical="center" wrapText="1"/>
    </xf>
    <xf numFmtId="0" fontId="56" fillId="19" borderId="41" xfId="9" applyFont="1" applyFill="1" applyBorder="1" applyAlignment="1">
      <alignment vertical="center" wrapText="1"/>
    </xf>
    <xf numFmtId="0" fontId="75" fillId="7" borderId="0" xfId="10" applyFont="1" applyFill="1" applyAlignment="1" applyProtection="1">
      <alignment wrapText="1"/>
    </xf>
    <xf numFmtId="0" fontId="60" fillId="0" borderId="0" xfId="9" applyFont="1" applyAlignment="1">
      <alignment vertical="top"/>
    </xf>
    <xf numFmtId="0" fontId="56" fillId="19" borderId="35" xfId="9" applyFont="1" applyFill="1" applyBorder="1" applyAlignment="1">
      <alignment horizontal="left" vertical="center" wrapText="1"/>
    </xf>
    <xf numFmtId="0" fontId="60" fillId="7" borderId="0" xfId="9" applyFont="1" applyFill="1" applyAlignment="1">
      <alignment horizontal="left" vertical="top"/>
    </xf>
    <xf numFmtId="0" fontId="59" fillId="7" borderId="0" xfId="10" applyFont="1" applyFill="1" applyAlignment="1" applyProtection="1">
      <alignment horizontal="left" vertical="top" wrapText="1"/>
    </xf>
    <xf numFmtId="0" fontId="65" fillId="7" borderId="0" xfId="9" applyFont="1" applyFill="1" applyAlignment="1">
      <alignment horizontal="left" vertical="top" wrapText="1"/>
    </xf>
    <xf numFmtId="0" fontId="103" fillId="7" borderId="0" xfId="9" applyFont="1" applyFill="1" applyAlignment="1">
      <alignment horizontal="left" vertical="top" wrapText="1"/>
    </xf>
    <xf numFmtId="0" fontId="103" fillId="7" borderId="0" xfId="10" applyFont="1" applyFill="1" applyAlignment="1" applyProtection="1">
      <alignment horizontal="left" vertical="top" wrapText="1"/>
    </xf>
    <xf numFmtId="0" fontId="58" fillId="7" borderId="0" xfId="10" applyFont="1" applyFill="1" applyAlignment="1" applyProtection="1">
      <alignment horizontal="left" vertical="top" wrapText="1"/>
    </xf>
    <xf numFmtId="0" fontId="56" fillId="19" borderId="39" xfId="9" applyFont="1" applyFill="1" applyBorder="1" applyAlignment="1">
      <alignment horizontal="center" vertical="center" wrapText="1"/>
    </xf>
    <xf numFmtId="0" fontId="56" fillId="19" borderId="41" xfId="9" applyFont="1" applyFill="1" applyBorder="1" applyAlignment="1">
      <alignment horizontal="center" vertical="center" wrapText="1"/>
    </xf>
    <xf numFmtId="0" fontId="56" fillId="19" borderId="14" xfId="9" applyFont="1" applyFill="1" applyBorder="1" applyAlignment="1">
      <alignment horizontal="center" vertical="center" wrapText="1"/>
    </xf>
    <xf numFmtId="0" fontId="56" fillId="19" borderId="15" xfId="9" applyFont="1" applyFill="1" applyBorder="1" applyAlignment="1">
      <alignment horizontal="center" vertical="center" wrapText="1"/>
    </xf>
    <xf numFmtId="0" fontId="56" fillId="19" borderId="18" xfId="9" applyFont="1" applyFill="1" applyBorder="1" applyAlignment="1">
      <alignment horizontal="center" vertical="center" wrapText="1"/>
    </xf>
    <xf numFmtId="0" fontId="55" fillId="7" borderId="0" xfId="9" applyFont="1" applyFill="1" applyAlignment="1">
      <alignment vertical="top"/>
    </xf>
    <xf numFmtId="0" fontId="47" fillId="7" borderId="60" xfId="9" applyFont="1" applyFill="1" applyBorder="1" applyAlignment="1">
      <alignment horizontal="left" vertical="top" wrapText="1"/>
    </xf>
    <xf numFmtId="0" fontId="47" fillId="7" borderId="0" xfId="9" applyFont="1" applyFill="1" applyAlignment="1">
      <alignment vertical="top" wrapText="1"/>
    </xf>
    <xf numFmtId="0" fontId="44" fillId="7" borderId="0" xfId="9" applyFill="1" applyAlignment="1">
      <alignment vertical="top"/>
    </xf>
    <xf numFmtId="0" fontId="56" fillId="0" borderId="48" xfId="9" applyFont="1" applyBorder="1" applyAlignment="1">
      <alignment horizontal="center" wrapText="1"/>
    </xf>
    <xf numFmtId="0" fontId="56" fillId="0" borderId="49" xfId="9" applyFont="1" applyBorder="1" applyAlignment="1">
      <alignment horizontal="center" wrapText="1"/>
    </xf>
    <xf numFmtId="0" fontId="56" fillId="0" borderId="50" xfId="9" applyFont="1" applyBorder="1" applyAlignment="1">
      <alignment horizontal="center" wrapText="1"/>
    </xf>
    <xf numFmtId="0" fontId="56" fillId="0" borderId="51" xfId="9" applyFont="1" applyBorder="1" applyAlignment="1">
      <alignment horizontal="center" wrapText="1"/>
    </xf>
    <xf numFmtId="0" fontId="56" fillId="19" borderId="53" xfId="9" applyFont="1" applyFill="1" applyBorder="1" applyAlignment="1">
      <alignment horizontal="left" vertical="center" wrapText="1"/>
    </xf>
    <xf numFmtId="0" fontId="56" fillId="19" borderId="56" xfId="9" applyFont="1" applyFill="1" applyBorder="1" applyAlignment="1">
      <alignment horizontal="left" vertical="center" wrapText="1"/>
    </xf>
    <xf numFmtId="0" fontId="56" fillId="19" borderId="57" xfId="9" applyFont="1" applyFill="1" applyBorder="1" applyAlignment="1">
      <alignment horizontal="left" vertical="center" wrapText="1"/>
    </xf>
    <xf numFmtId="0" fontId="54" fillId="7" borderId="0" xfId="9" applyFont="1" applyFill="1" applyAlignment="1">
      <alignment vertical="top" wrapText="1"/>
    </xf>
    <xf numFmtId="0" fontId="56" fillId="0" borderId="35" xfId="9" applyFont="1" applyBorder="1" applyAlignment="1">
      <alignment horizontal="center"/>
    </xf>
    <xf numFmtId="179" fontId="56" fillId="0" borderId="35" xfId="9" applyNumberFormat="1" applyFont="1" applyBorder="1" applyAlignment="1">
      <alignment horizontal="center"/>
    </xf>
    <xf numFmtId="0" fontId="56" fillId="0" borderId="44" xfId="9" applyFont="1" applyBorder="1" applyAlignment="1">
      <alignment horizontal="center"/>
    </xf>
    <xf numFmtId="0" fontId="56" fillId="7" borderId="16" xfId="9" applyFont="1" applyFill="1" applyBorder="1" applyAlignment="1">
      <alignment horizontal="center"/>
    </xf>
    <xf numFmtId="0" fontId="56" fillId="7" borderId="25" xfId="9" applyFont="1" applyFill="1" applyBorder="1" applyAlignment="1">
      <alignment horizontal="center"/>
    </xf>
    <xf numFmtId="0" fontId="56" fillId="7" borderId="17" xfId="9" applyFont="1" applyFill="1" applyBorder="1" applyAlignment="1">
      <alignment horizontal="center"/>
    </xf>
    <xf numFmtId="0" fontId="56" fillId="7" borderId="0" xfId="9" applyFont="1" applyFill="1"/>
    <xf numFmtId="0" fontId="101" fillId="7" borderId="0" xfId="9" applyFont="1" applyFill="1" applyAlignment="1">
      <alignment horizontal="left" vertical="top" wrapText="1"/>
    </xf>
    <xf numFmtId="0" fontId="91" fillId="7" borderId="0" xfId="9" applyFont="1" applyFill="1" applyAlignment="1">
      <alignment horizontal="left" vertical="top" wrapText="1"/>
    </xf>
    <xf numFmtId="0" fontId="56" fillId="7" borderId="0" xfId="9" applyFont="1" applyFill="1" applyAlignment="1">
      <alignment vertical="top" wrapText="1"/>
    </xf>
    <xf numFmtId="0" fontId="96" fillId="7" borderId="0" xfId="9" applyFont="1" applyFill="1" applyAlignment="1">
      <alignment vertical="top"/>
    </xf>
    <xf numFmtId="0" fontId="7" fillId="7" borderId="0" xfId="9" applyFont="1" applyFill="1" applyAlignment="1">
      <alignment horizontal="left" vertical="top" wrapText="1"/>
    </xf>
    <xf numFmtId="0" fontId="44" fillId="0" borderId="0" xfId="9" applyAlignment="1">
      <alignment horizontal="left" vertical="top" wrapText="1"/>
    </xf>
    <xf numFmtId="0" fontId="56" fillId="0" borderId="0" xfId="9" applyFont="1" applyAlignment="1">
      <alignment horizontal="left" vertical="top" wrapText="1"/>
    </xf>
    <xf numFmtId="0" fontId="48" fillId="7" borderId="0" xfId="10" applyFill="1" applyAlignment="1" applyProtection="1">
      <alignment horizontal="left" vertical="top" wrapText="1"/>
    </xf>
    <xf numFmtId="0" fontId="48" fillId="0" borderId="0" xfId="10" applyAlignment="1" applyProtection="1">
      <alignment horizontal="left" vertical="top" wrapText="1"/>
    </xf>
    <xf numFmtId="0" fontId="81" fillId="7" borderId="0" xfId="9" applyFont="1" applyFill="1" applyAlignment="1">
      <alignment horizontal="left" vertical="top" wrapText="1"/>
    </xf>
    <xf numFmtId="0" fontId="81" fillId="0" borderId="0" xfId="9" applyFont="1" applyAlignment="1">
      <alignment horizontal="left" vertical="top" wrapText="1"/>
    </xf>
    <xf numFmtId="0" fontId="82" fillId="0" borderId="0" xfId="9" applyFont="1" applyAlignment="1">
      <alignment horizontal="left" vertical="top" wrapText="1"/>
    </xf>
    <xf numFmtId="0" fontId="91" fillId="7" borderId="16" xfId="9" applyFont="1" applyFill="1" applyBorder="1" applyAlignment="1">
      <alignment horizontal="left" vertical="top"/>
    </xf>
    <xf numFmtId="0" fontId="91" fillId="7" borderId="25" xfId="9" applyFont="1" applyFill="1" applyBorder="1" applyAlignment="1">
      <alignment horizontal="left" vertical="top"/>
    </xf>
    <xf numFmtId="0" fontId="91" fillId="7" borderId="17" xfId="9" applyFont="1" applyFill="1" applyBorder="1" applyAlignment="1">
      <alignment horizontal="left" vertical="top"/>
    </xf>
    <xf numFmtId="0" fontId="47" fillId="7" borderId="0" xfId="9" applyFont="1" applyFill="1" applyAlignment="1">
      <alignment horizontal="left" vertical="center" wrapText="1"/>
    </xf>
    <xf numFmtId="0" fontId="56" fillId="19" borderId="42" xfId="9" applyFont="1" applyFill="1" applyBorder="1" applyAlignment="1">
      <alignment horizontal="center" wrapText="1"/>
    </xf>
    <xf numFmtId="0" fontId="56" fillId="19" borderId="25" xfId="9" applyFont="1" applyFill="1" applyBorder="1" applyAlignment="1">
      <alignment horizontal="center" wrapText="1"/>
    </xf>
    <xf numFmtId="0" fontId="56" fillId="19" borderId="43" xfId="9" applyFont="1" applyFill="1" applyBorder="1" applyAlignment="1">
      <alignment horizontal="center" wrapText="1"/>
    </xf>
    <xf numFmtId="0" fontId="56" fillId="7" borderId="16" xfId="9" applyFont="1" applyFill="1" applyBorder="1" applyAlignment="1">
      <alignment horizontal="left" vertical="top" wrapText="1"/>
    </xf>
    <xf numFmtId="0" fontId="56" fillId="7" borderId="25" xfId="9" applyFont="1" applyFill="1" applyBorder="1" applyAlignment="1">
      <alignment horizontal="left" vertical="top" wrapText="1"/>
    </xf>
    <xf numFmtId="0" fontId="56" fillId="7" borderId="17" xfId="9" applyFont="1" applyFill="1" applyBorder="1" applyAlignment="1">
      <alignment horizontal="left" vertical="top" wrapText="1"/>
    </xf>
    <xf numFmtId="0" fontId="92" fillId="7" borderId="0" xfId="9" applyFont="1" applyFill="1" applyAlignment="1">
      <alignment horizontal="left" vertical="top"/>
    </xf>
    <xf numFmtId="0" fontId="56" fillId="7" borderId="16" xfId="9" applyFont="1" applyFill="1" applyBorder="1" applyAlignment="1">
      <alignment horizontal="left" vertical="top"/>
    </xf>
    <xf numFmtId="0" fontId="56" fillId="7" borderId="25" xfId="9" applyFont="1" applyFill="1" applyBorder="1" applyAlignment="1">
      <alignment horizontal="left" vertical="top"/>
    </xf>
    <xf numFmtId="0" fontId="56" fillId="7" borderId="17" xfId="9" applyFont="1" applyFill="1" applyBorder="1" applyAlignment="1">
      <alignment horizontal="left" vertical="top"/>
    </xf>
    <xf numFmtId="0" fontId="58" fillId="7" borderId="0" xfId="9" applyFont="1" applyFill="1" applyAlignment="1">
      <alignment horizontal="left" vertical="top" wrapText="1"/>
    </xf>
    <xf numFmtId="0" fontId="107" fillId="7" borderId="0" xfId="9" applyFont="1" applyFill="1" applyAlignment="1">
      <alignment horizontal="left" vertical="top" wrapText="1"/>
    </xf>
    <xf numFmtId="0" fontId="56" fillId="7" borderId="35" xfId="9" applyFont="1" applyFill="1" applyBorder="1" applyAlignment="1">
      <alignment horizontal="center"/>
    </xf>
    <xf numFmtId="0" fontId="56" fillId="19" borderId="59" xfId="9" applyFont="1" applyFill="1" applyBorder="1" applyAlignment="1">
      <alignment vertical="center" wrapText="1"/>
    </xf>
    <xf numFmtId="0" fontId="48" fillId="7" borderId="0" xfId="10" applyFill="1" applyAlignment="1" applyProtection="1">
      <alignment horizontal="left" wrapText="1"/>
    </xf>
    <xf numFmtId="14" fontId="109" fillId="0" borderId="61" xfId="0" applyNumberFormat="1" applyFont="1" applyFill="1" applyBorder="1" applyAlignment="1">
      <alignment horizontal="center" vertical="center" wrapText="1"/>
    </xf>
    <xf numFmtId="4" fontId="109" fillId="0" borderId="61" xfId="0" applyNumberFormat="1" applyFont="1" applyFill="1" applyBorder="1" applyAlignment="1">
      <alignment horizontal="center" vertical="center" wrapText="1"/>
    </xf>
    <xf numFmtId="41" fontId="109" fillId="0" borderId="61" xfId="0" applyNumberFormat="1" applyFont="1" applyFill="1" applyBorder="1" applyAlignment="1">
      <alignment horizontal="center" vertical="center" wrapText="1"/>
    </xf>
    <xf numFmtId="14" fontId="109" fillId="0" borderId="25" xfId="0" applyNumberFormat="1" applyFont="1" applyFill="1" applyBorder="1" applyAlignment="1">
      <alignment horizontal="center" vertical="center" wrapText="1"/>
    </xf>
    <xf numFmtId="4" fontId="109" fillId="0" borderId="25" xfId="0" applyNumberFormat="1" applyFont="1" applyFill="1" applyBorder="1" applyAlignment="1">
      <alignment horizontal="center" vertical="center" wrapText="1"/>
    </xf>
    <xf numFmtId="0" fontId="0" fillId="0" borderId="25" xfId="0" applyFill="1" applyBorder="1" applyAlignment="1">
      <alignment horizontal="center" vertical="center"/>
    </xf>
    <xf numFmtId="41" fontId="0" fillId="0" borderId="25" xfId="0" applyNumberFormat="1" applyFill="1" applyBorder="1" applyAlignment="1">
      <alignment horizontal="center" vertical="center"/>
    </xf>
    <xf numFmtId="41" fontId="109" fillId="0" borderId="25" xfId="0" applyNumberFormat="1" applyFont="1" applyFill="1" applyBorder="1" applyAlignment="1">
      <alignment horizontal="center" vertical="center" wrapText="1"/>
    </xf>
    <xf numFmtId="195" fontId="109" fillId="0" borderId="25" xfId="0" applyNumberFormat="1" applyFont="1" applyFill="1" applyBorder="1" applyAlignment="1">
      <alignment horizontal="center" vertical="center" wrapText="1"/>
    </xf>
    <xf numFmtId="14" fontId="109" fillId="0" borderId="25" xfId="0" quotePrefix="1" applyNumberFormat="1" applyFont="1" applyFill="1" applyBorder="1" applyAlignment="1">
      <alignment horizontal="center" vertical="center" wrapText="1"/>
    </xf>
    <xf numFmtId="182" fontId="109" fillId="0" borderId="25" xfId="0" applyNumberFormat="1" applyFont="1" applyFill="1" applyBorder="1" applyAlignment="1">
      <alignment horizontal="center" vertical="center" wrapText="1"/>
    </xf>
    <xf numFmtId="196" fontId="109" fillId="0" borderId="25" xfId="0" applyNumberFormat="1" applyFont="1" applyFill="1" applyBorder="1" applyAlignment="1">
      <alignment horizontal="center" vertical="center" wrapText="1"/>
    </xf>
    <xf numFmtId="194" fontId="109" fillId="0" borderId="25" xfId="0" applyNumberFormat="1" applyFont="1" applyFill="1" applyBorder="1" applyAlignment="1">
      <alignment horizontal="center" vertical="center" wrapText="1"/>
    </xf>
    <xf numFmtId="3" fontId="109" fillId="0" borderId="25" xfId="0" applyNumberFormat="1" applyFont="1" applyFill="1" applyBorder="1" applyAlignment="1">
      <alignment horizontal="center" vertical="center" wrapText="1"/>
    </xf>
    <xf numFmtId="1" fontId="109" fillId="0" borderId="25" xfId="0" applyNumberFormat="1" applyFont="1" applyFill="1" applyBorder="1" applyAlignment="1">
      <alignment horizontal="center" vertical="center" wrapText="1"/>
    </xf>
    <xf numFmtId="197" fontId="109" fillId="0" borderId="25" xfId="0" applyNumberFormat="1" applyFont="1" applyFill="1" applyBorder="1" applyAlignment="1">
      <alignment horizontal="center" vertical="center" wrapText="1"/>
    </xf>
    <xf numFmtId="193" fontId="109" fillId="0" borderId="25" xfId="0" applyNumberFormat="1" applyFont="1" applyFill="1" applyBorder="1" applyAlignment="1">
      <alignment horizontal="center" vertical="center" wrapText="1"/>
    </xf>
    <xf numFmtId="1" fontId="109" fillId="0" borderId="61" xfId="0" applyNumberFormat="1" applyFont="1" applyFill="1" applyBorder="1" applyAlignment="1">
      <alignment horizontal="center" vertical="center" wrapText="1"/>
    </xf>
    <xf numFmtId="14" fontId="109" fillId="0" borderId="61" xfId="0" quotePrefix="1" applyNumberFormat="1" applyFont="1" applyFill="1" applyBorder="1" applyAlignment="1">
      <alignment horizontal="left" vertical="center" wrapText="1"/>
    </xf>
    <xf numFmtId="166" fontId="5" fillId="13" borderId="13" xfId="0" applyNumberFormat="1" applyFont="1" applyFill="1" applyBorder="1"/>
    <xf numFmtId="2" fontId="5" fillId="13" borderId="13" xfId="0" applyNumberFormat="1" applyFont="1" applyFill="1" applyBorder="1"/>
    <xf numFmtId="166" fontId="0" fillId="13" borderId="13" xfId="0" applyNumberFormat="1" applyFill="1" applyBorder="1"/>
    <xf numFmtId="0" fontId="5" fillId="13" borderId="13" xfId="0" quotePrefix="1" applyFont="1" applyFill="1" applyBorder="1"/>
    <xf numFmtId="184" fontId="0" fillId="13" borderId="13" xfId="0" applyNumberFormat="1" applyFill="1" applyBorder="1"/>
    <xf numFmtId="14" fontId="109" fillId="0" borderId="25" xfId="0" applyNumberFormat="1" applyFont="1" applyFill="1" applyBorder="1" applyAlignment="1">
      <alignment horizontal="left" vertical="center" wrapText="1"/>
    </xf>
    <xf numFmtId="14" fontId="109" fillId="0" borderId="61" xfId="0" applyNumberFormat="1" applyFont="1" applyFill="1" applyBorder="1" applyAlignment="1">
      <alignment horizontal="left" vertical="center" wrapText="1"/>
    </xf>
  </cellXfs>
  <cellStyles count="15">
    <cellStyle name="Hipervínculo" xfId="14" builtinId="8"/>
    <cellStyle name="Hipervínculo 2" xfId="6" xr:uid="{00000000-0005-0000-0000-000000000000}"/>
    <cellStyle name="Hipervínculo 3" xfId="10" xr:uid="{00000000-0005-0000-0000-000001000000}"/>
    <cellStyle name="Millares 2" xfId="8" xr:uid="{00000000-0005-0000-0000-000002000000}"/>
    <cellStyle name="Millares 3" xfId="11" xr:uid="{00000000-0005-0000-0000-000003000000}"/>
    <cellStyle name="Millares 5" xfId="7" xr:uid="{00000000-0005-0000-0000-000004000000}"/>
    <cellStyle name="Normal" xfId="0" builtinId="0"/>
    <cellStyle name="Normal 2" xfId="3" xr:uid="{00000000-0005-0000-0000-000006000000}"/>
    <cellStyle name="Normal 3" xfId="2" xr:uid="{00000000-0005-0000-0000-000007000000}"/>
    <cellStyle name="Normal 4" xfId="5" xr:uid="{00000000-0005-0000-0000-000008000000}"/>
    <cellStyle name="Normal 5" xfId="9" xr:uid="{00000000-0005-0000-0000-000009000000}"/>
    <cellStyle name="Normal 6" xfId="12" xr:uid="{00000000-0005-0000-0000-00000A000000}"/>
    <cellStyle name="Normal 7" xfId="13" xr:uid="{00000000-0005-0000-0000-00000B000000}"/>
    <cellStyle name="Normal_Cuadroa2" xfId="4" xr:uid="{00000000-0005-0000-0000-00000C000000}"/>
    <cellStyle name="Porcentaje" xfId="1" builtinId="5"/>
  </cellStyles>
  <dxfs count="42">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s>
  <tableStyles count="0" defaultTableStyle="TableStyleMedium9"/>
  <colors>
    <mruColors>
      <color rgb="FF00945E"/>
      <color rgb="FFFFC000"/>
      <color rgb="FF1F4E78"/>
      <color rgb="FFA8AB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15240</xdr:rowOff>
    </xdr:from>
    <xdr:to>
      <xdr:col>9</xdr:col>
      <xdr:colOff>723900</xdr:colOff>
      <xdr:row>8</xdr:row>
      <xdr:rowOff>7620</xdr:rowOff>
    </xdr:to>
    <xdr:sp macro="" textlink="">
      <xdr:nvSpPr>
        <xdr:cNvPr id="2" name="CuadroTexto 1">
          <a:extLst>
            <a:ext uri="{FF2B5EF4-FFF2-40B4-BE49-F238E27FC236}">
              <a16:creationId xmlns:a16="http://schemas.microsoft.com/office/drawing/2014/main" id="{E784CBC7-831C-4738-BB81-A8256AF0F27C}"/>
            </a:ext>
          </a:extLst>
        </xdr:cNvPr>
        <xdr:cNvSpPr txBox="1"/>
      </xdr:nvSpPr>
      <xdr:spPr>
        <a:xfrm>
          <a:off x="220980" y="15240"/>
          <a:ext cx="14592300" cy="1455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Base de datos de factores de emisión 2024</a:t>
          </a:r>
        </a:p>
        <a:p>
          <a:endParaRPr lang="es-CL" sz="1100" b="1" baseline="0"/>
        </a:p>
        <a:p>
          <a:r>
            <a:rPr lang="es-CL" sz="1100" b="0" baseline="0"/>
            <a:t>Este documento ha sido elaborado por el equipo del Programa HuellaChile para entregar a los usuarios los factores de emisión disponibles y actualizados en plataforma para los ámbitos: </a:t>
          </a:r>
          <a:r>
            <a:rPr lang="es-CL" sz="1100" b="0" u="sng" baseline="0"/>
            <a:t>organizaciones y</a:t>
          </a:r>
        </a:p>
        <a:p>
          <a:r>
            <a:rPr lang="es-CL" sz="1100" b="0" u="sng" baseline="0"/>
            <a:t>eventos</a:t>
          </a:r>
          <a:r>
            <a:rPr lang="es-CL" sz="1100" b="0" baseline="0"/>
            <a:t>. Estos factores se encuentran vigentes para las declaraciones desde el año de reporte 2024 en adelante.</a:t>
          </a:r>
        </a:p>
        <a:p>
          <a:endParaRPr lang="es-CL" sz="1100" b="0" baseline="0"/>
        </a:p>
        <a:p>
          <a:r>
            <a:rPr lang="es-CL" sz="1100" b="0" baseline="0"/>
            <a:t>La metodología oficial empleada por el Programa HuellaChile corresponde a la NCh-ISO 14064-1:2019 para organizaciones y NCh-ISO 14067:2019 para eventos.</a:t>
          </a:r>
        </a:p>
        <a:p>
          <a:r>
            <a:rPr lang="es-CL" sz="1100" b="0" baseline="0"/>
            <a:t>Cada categoría hace referencia a las fuentes de información y en la mayoría de los casos, se incluyen hojas adicionales que contienen la información de base con la que se construyen y actualizan los factores de emisión.</a:t>
          </a:r>
        </a:p>
        <a:p>
          <a:r>
            <a:rPr lang="es-CL" sz="1100" b="0" baseline="0"/>
            <a:t>En cada leyenda a continuación se incluye el enlace directo a cada hoja mencionada.</a:t>
          </a:r>
        </a:p>
      </xdr:txBody>
    </xdr:sp>
    <xdr:clientData/>
  </xdr:twoCellAnchor>
  <xdr:twoCellAnchor editAs="oneCell">
    <xdr:from>
      <xdr:col>6</xdr:col>
      <xdr:colOff>154305</xdr:colOff>
      <xdr:row>0</xdr:row>
      <xdr:rowOff>15240</xdr:rowOff>
    </xdr:from>
    <xdr:to>
      <xdr:col>9</xdr:col>
      <xdr:colOff>702945</xdr:colOff>
      <xdr:row>3</xdr:row>
      <xdr:rowOff>97562</xdr:rowOff>
    </xdr:to>
    <xdr:pic>
      <xdr:nvPicPr>
        <xdr:cNvPr id="3" name="Imagen 2">
          <a:extLst>
            <a:ext uri="{FF2B5EF4-FFF2-40B4-BE49-F238E27FC236}">
              <a16:creationId xmlns:a16="http://schemas.microsoft.com/office/drawing/2014/main" id="{50AF3544-0220-4175-99BB-9722EB0C39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66245" y="15240"/>
          <a:ext cx="2939415" cy="634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11</xdr:row>
      <xdr:rowOff>152400</xdr:rowOff>
    </xdr:from>
    <xdr:to>
      <xdr:col>2</xdr:col>
      <xdr:colOff>4594110</xdr:colOff>
      <xdr:row>33</xdr:row>
      <xdr:rowOff>168205</xdr:rowOff>
    </xdr:to>
    <xdr:pic>
      <xdr:nvPicPr>
        <xdr:cNvPr id="3" name="Imagen 2">
          <a:extLst>
            <a:ext uri="{FF2B5EF4-FFF2-40B4-BE49-F238E27FC236}">
              <a16:creationId xmlns:a16="http://schemas.microsoft.com/office/drawing/2014/main" id="{7BDD4611-75C8-BDCE-2FA2-C4594BEE87E3}"/>
            </a:ext>
          </a:extLst>
        </xdr:cNvPr>
        <xdr:cNvPicPr>
          <a:picLocks noChangeAspect="1"/>
        </xdr:cNvPicPr>
      </xdr:nvPicPr>
      <xdr:blipFill>
        <a:blip xmlns:r="http://schemas.openxmlformats.org/officeDocument/2006/relationships" r:embed="rId1"/>
        <a:stretch>
          <a:fillRect/>
        </a:stretch>
      </xdr:blipFill>
      <xdr:spPr>
        <a:xfrm>
          <a:off x="796247" y="2849366"/>
          <a:ext cx="6892247" cy="3978975"/>
        </a:xfrm>
        <a:prstGeom prst="rect">
          <a:avLst/>
        </a:prstGeom>
      </xdr:spPr>
    </xdr:pic>
    <xdr:clientData/>
  </xdr:twoCellAnchor>
  <xdr:twoCellAnchor editAs="oneCell">
    <xdr:from>
      <xdr:col>2</xdr:col>
      <xdr:colOff>8396749</xdr:colOff>
      <xdr:row>11</xdr:row>
      <xdr:rowOff>19452</xdr:rowOff>
    </xdr:from>
    <xdr:to>
      <xdr:col>10</xdr:col>
      <xdr:colOff>20477</xdr:colOff>
      <xdr:row>34</xdr:row>
      <xdr:rowOff>60404</xdr:rowOff>
    </xdr:to>
    <xdr:pic>
      <xdr:nvPicPr>
        <xdr:cNvPr id="5" name="Imagen 4">
          <a:extLst>
            <a:ext uri="{FF2B5EF4-FFF2-40B4-BE49-F238E27FC236}">
              <a16:creationId xmlns:a16="http://schemas.microsoft.com/office/drawing/2014/main" id="{AF51E816-FEDB-13E7-D0FA-5D65DA75FCC6}"/>
            </a:ext>
          </a:extLst>
        </xdr:cNvPr>
        <xdr:cNvPicPr>
          <a:picLocks noChangeAspect="1"/>
        </xdr:cNvPicPr>
      </xdr:nvPicPr>
      <xdr:blipFill>
        <a:blip xmlns:r="http://schemas.openxmlformats.org/officeDocument/2006/relationships" r:embed="rId2"/>
        <a:stretch>
          <a:fillRect/>
        </a:stretch>
      </xdr:blipFill>
      <xdr:spPr>
        <a:xfrm>
          <a:off x="11468294" y="2395351"/>
          <a:ext cx="6589280" cy="4221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514350</xdr:colOff>
      <xdr:row>6</xdr:row>
      <xdr:rowOff>8467</xdr:rowOff>
    </xdr:to>
    <xdr:sp macro="" textlink="">
      <xdr:nvSpPr>
        <xdr:cNvPr id="2" name="CuadroTexto 1">
          <a:extLst>
            <a:ext uri="{FF2B5EF4-FFF2-40B4-BE49-F238E27FC236}">
              <a16:creationId xmlns:a16="http://schemas.microsoft.com/office/drawing/2014/main" id="{688CA2E0-AB53-498E-9004-F9B4DB3E1BC9}"/>
            </a:ext>
          </a:extLst>
        </xdr:cNvPr>
        <xdr:cNvSpPr txBox="1"/>
      </xdr:nvSpPr>
      <xdr:spPr>
        <a:xfrm>
          <a:off x="0" y="0"/>
          <a:ext cx="10887075" cy="10943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Resumen factores de emisión 2024</a:t>
          </a:r>
        </a:p>
        <a:p>
          <a:endParaRPr lang="es-CL" sz="1100" b="1" baseline="0"/>
        </a:p>
        <a:p>
          <a:r>
            <a:rPr lang="es-CL" sz="1100" b="0" baseline="0"/>
            <a:t>En esta hoja se presenta un resumen de los factores de emisión que se encuentran a lo largo del documento.</a:t>
          </a:r>
        </a:p>
        <a:p>
          <a:r>
            <a:rPr lang="es-CL" sz="1100" b="0" baseline="0"/>
            <a:t>Para mayor información revisar la hoja de cada categoría.</a:t>
          </a:r>
        </a:p>
      </xdr:txBody>
    </xdr:sp>
    <xdr:clientData/>
  </xdr:twoCellAnchor>
  <xdr:twoCellAnchor editAs="oneCell">
    <xdr:from>
      <xdr:col>4</xdr:col>
      <xdr:colOff>850266</xdr:colOff>
      <xdr:row>0</xdr:row>
      <xdr:rowOff>0</xdr:rowOff>
    </xdr:from>
    <xdr:to>
      <xdr:col>7</xdr:col>
      <xdr:colOff>360255</xdr:colOff>
      <xdr:row>3</xdr:row>
      <xdr:rowOff>15361</xdr:rowOff>
    </xdr:to>
    <xdr:pic>
      <xdr:nvPicPr>
        <xdr:cNvPr id="3" name="Imagen 2">
          <a:extLst>
            <a:ext uri="{FF2B5EF4-FFF2-40B4-BE49-F238E27FC236}">
              <a16:creationId xmlns:a16="http://schemas.microsoft.com/office/drawing/2014/main" id="{EE7508CB-6CBF-4D54-977B-EB714F47D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4399" y="0"/>
          <a:ext cx="2680334" cy="5779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716280</xdr:colOff>
      <xdr:row>6</xdr:row>
      <xdr:rowOff>8467</xdr:rowOff>
    </xdr:to>
    <xdr:sp macro="" textlink="">
      <xdr:nvSpPr>
        <xdr:cNvPr id="4" name="CuadroTexto 3">
          <a:extLst>
            <a:ext uri="{FF2B5EF4-FFF2-40B4-BE49-F238E27FC236}">
              <a16:creationId xmlns:a16="http://schemas.microsoft.com/office/drawing/2014/main" id="{09F2A6D3-557D-42D8-A537-D89EFB29C7AA}"/>
            </a:ext>
          </a:extLst>
        </xdr:cNvPr>
        <xdr:cNvSpPr txBox="1"/>
      </xdr:nvSpPr>
      <xdr:spPr>
        <a:xfrm>
          <a:off x="0" y="0"/>
          <a:ext cx="10934700" cy="1105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Control de cambios entre versiones</a:t>
          </a:r>
        </a:p>
        <a:p>
          <a:endParaRPr lang="es-CL" sz="1100" b="1" baseline="0"/>
        </a:p>
        <a:p>
          <a:r>
            <a:rPr lang="es-CL" sz="1100" b="0" baseline="0"/>
            <a:t>En esta hoja se presenta un resumen de los cambios realizados entre las distintas versiones del documento, con el fin de tener un</a:t>
          </a:r>
        </a:p>
        <a:p>
          <a:r>
            <a:rPr lang="es-CL" sz="1100" b="0" baseline="0"/>
            <a:t>seguimiento de los ajustes efectuados.</a:t>
          </a:r>
        </a:p>
      </xdr:txBody>
    </xdr:sp>
    <xdr:clientData/>
  </xdr:twoCellAnchor>
  <xdr:twoCellAnchor editAs="oneCell">
    <xdr:from>
      <xdr:col>5</xdr:col>
      <xdr:colOff>339726</xdr:colOff>
      <xdr:row>0</xdr:row>
      <xdr:rowOff>15240</xdr:rowOff>
    </xdr:from>
    <xdr:to>
      <xdr:col>8</xdr:col>
      <xdr:colOff>642195</xdr:colOff>
      <xdr:row>3</xdr:row>
      <xdr:rowOff>30601</xdr:rowOff>
    </xdr:to>
    <xdr:pic>
      <xdr:nvPicPr>
        <xdr:cNvPr id="5" name="Imagen 4">
          <a:extLst>
            <a:ext uri="{FF2B5EF4-FFF2-40B4-BE49-F238E27FC236}">
              <a16:creationId xmlns:a16="http://schemas.microsoft.com/office/drawing/2014/main" id="{B4A7EC93-4225-4AB0-955A-F887059A9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0706" y="15240"/>
          <a:ext cx="2679909" cy="564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529590</xdr:colOff>
      <xdr:row>1</xdr:row>
      <xdr:rowOff>0</xdr:rowOff>
    </xdr:from>
    <xdr:to>
      <xdr:col>16</xdr:col>
      <xdr:colOff>605790</xdr:colOff>
      <xdr:row>13</xdr:row>
      <xdr:rowOff>76200</xdr:rowOff>
    </xdr:to>
    <xdr:pic>
      <xdr:nvPicPr>
        <xdr:cNvPr id="2" name="Imagen 1">
          <a:extLst>
            <a:ext uri="{FF2B5EF4-FFF2-40B4-BE49-F238E27FC236}">
              <a16:creationId xmlns:a16="http://schemas.microsoft.com/office/drawing/2014/main" id="{7C7F661B-79FA-F689-9023-E41EAAA50719}"/>
            </a:ext>
          </a:extLst>
        </xdr:cNvPr>
        <xdr:cNvPicPr>
          <a:picLocks noChangeAspect="1"/>
        </xdr:cNvPicPr>
      </xdr:nvPicPr>
      <xdr:blipFill>
        <a:blip xmlns:r="http://schemas.openxmlformats.org/officeDocument/2006/relationships" r:embed="rId1"/>
        <a:stretch>
          <a:fillRect/>
        </a:stretch>
      </xdr:blipFill>
      <xdr:spPr>
        <a:xfrm>
          <a:off x="7067550" y="182880"/>
          <a:ext cx="6334125" cy="3398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4704954</xdr:colOff>
      <xdr:row>24</xdr:row>
      <xdr:rowOff>19050</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b="41639"/>
        <a:stretch/>
      </xdr:blipFill>
      <xdr:spPr>
        <a:xfrm>
          <a:off x="762000" y="1143000"/>
          <a:ext cx="5861289" cy="3819525"/>
        </a:xfrm>
        <a:prstGeom prst="rect">
          <a:avLst/>
        </a:prstGeom>
      </xdr:spPr>
    </xdr:pic>
    <xdr:clientData/>
  </xdr:twoCellAnchor>
  <xdr:twoCellAnchor editAs="oneCell">
    <xdr:from>
      <xdr:col>1</xdr:col>
      <xdr:colOff>28575</xdr:colOff>
      <xdr:row>25</xdr:row>
      <xdr:rowOff>95250</xdr:rowOff>
    </xdr:from>
    <xdr:to>
      <xdr:col>2</xdr:col>
      <xdr:colOff>4819348</xdr:colOff>
      <xdr:row>42</xdr:row>
      <xdr:rowOff>152400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90575" y="5238750"/>
          <a:ext cx="5947108" cy="3295650"/>
        </a:xfrm>
        <a:prstGeom prst="rect">
          <a:avLst/>
        </a:prstGeom>
      </xdr:spPr>
    </xdr:pic>
    <xdr:clientData/>
  </xdr:twoCellAnchor>
  <xdr:twoCellAnchor editAs="oneCell">
    <xdr:from>
      <xdr:col>1</xdr:col>
      <xdr:colOff>0</xdr:colOff>
      <xdr:row>43</xdr:row>
      <xdr:rowOff>180975</xdr:rowOff>
    </xdr:from>
    <xdr:to>
      <xdr:col>2</xdr:col>
      <xdr:colOff>4708074</xdr:colOff>
      <xdr:row>62</xdr:row>
      <xdr:rowOff>479</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62000" y="8753475"/>
          <a:ext cx="5868219" cy="34294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4801431</xdr:colOff>
      <xdr:row>12</xdr:row>
      <xdr:rowOff>292</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762000" y="952500"/>
          <a:ext cx="5953956" cy="2095792"/>
        </a:xfrm>
        <a:prstGeom prst="rect">
          <a:avLst/>
        </a:prstGeom>
      </xdr:spPr>
    </xdr:pic>
    <xdr:clientData/>
  </xdr:twoCellAnchor>
  <xdr:twoCellAnchor editAs="oneCell">
    <xdr:from>
      <xdr:col>1</xdr:col>
      <xdr:colOff>0</xdr:colOff>
      <xdr:row>14</xdr:row>
      <xdr:rowOff>0</xdr:rowOff>
    </xdr:from>
    <xdr:to>
      <xdr:col>2</xdr:col>
      <xdr:colOff>4780475</xdr:colOff>
      <xdr:row>25</xdr:row>
      <xdr:rowOff>38398</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762000" y="3238500"/>
          <a:ext cx="5944430" cy="2133898"/>
        </a:xfrm>
        <a:prstGeom prst="rect">
          <a:avLst/>
        </a:prstGeom>
      </xdr:spPr>
    </xdr:pic>
    <xdr:clientData/>
  </xdr:twoCellAnchor>
  <xdr:twoCellAnchor editAs="oneCell">
    <xdr:from>
      <xdr:col>1</xdr:col>
      <xdr:colOff>0</xdr:colOff>
      <xdr:row>26</xdr:row>
      <xdr:rowOff>0</xdr:rowOff>
    </xdr:from>
    <xdr:to>
      <xdr:col>2</xdr:col>
      <xdr:colOff>4650919</xdr:colOff>
      <xdr:row>51</xdr:row>
      <xdr:rowOff>94024</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3"/>
        <a:stretch>
          <a:fillRect/>
        </a:stretch>
      </xdr:blipFill>
      <xdr:spPr>
        <a:xfrm>
          <a:off x="762000" y="5524500"/>
          <a:ext cx="5830114" cy="4867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xdr:col>
      <xdr:colOff>4668060</xdr:colOff>
      <xdr:row>15</xdr:row>
      <xdr:rowOff>319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762000" y="952500"/>
          <a:ext cx="5801535" cy="2286319"/>
        </a:xfrm>
        <a:prstGeom prst="rect">
          <a:avLst/>
        </a:prstGeom>
      </xdr:spPr>
    </xdr:pic>
    <xdr:clientData/>
  </xdr:twoCellAnchor>
  <xdr:twoCellAnchor editAs="oneCell">
    <xdr:from>
      <xdr:col>1</xdr:col>
      <xdr:colOff>0</xdr:colOff>
      <xdr:row>18</xdr:row>
      <xdr:rowOff>0</xdr:rowOff>
    </xdr:from>
    <xdr:to>
      <xdr:col>2</xdr:col>
      <xdr:colOff>4650909</xdr:colOff>
      <xdr:row>27</xdr:row>
      <xdr:rowOff>93626</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762000" y="3429000"/>
          <a:ext cx="5763429" cy="2010056"/>
        </a:xfrm>
        <a:prstGeom prst="rect">
          <a:avLst/>
        </a:prstGeom>
      </xdr:spPr>
    </xdr:pic>
    <xdr:clientData/>
  </xdr:twoCellAnchor>
  <xdr:twoCellAnchor editAs="oneCell">
    <xdr:from>
      <xdr:col>1</xdr:col>
      <xdr:colOff>0</xdr:colOff>
      <xdr:row>29</xdr:row>
      <xdr:rowOff>0</xdr:rowOff>
    </xdr:from>
    <xdr:to>
      <xdr:col>2</xdr:col>
      <xdr:colOff>4740458</xdr:colOff>
      <xdr:row>33</xdr:row>
      <xdr:rowOff>167769</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762000" y="5524500"/>
          <a:ext cx="5858693" cy="924054"/>
        </a:xfrm>
        <a:prstGeom prst="rect">
          <a:avLst/>
        </a:prstGeom>
      </xdr:spPr>
    </xdr:pic>
    <xdr:clientData/>
  </xdr:twoCellAnchor>
  <xdr:twoCellAnchor editAs="oneCell">
    <xdr:from>
      <xdr:col>0</xdr:col>
      <xdr:colOff>676275</xdr:colOff>
      <xdr:row>34</xdr:row>
      <xdr:rowOff>47625</xdr:rowOff>
    </xdr:from>
    <xdr:to>
      <xdr:col>2</xdr:col>
      <xdr:colOff>4612816</xdr:colOff>
      <xdr:row>66</xdr:row>
      <xdr:rowOff>130401</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76275" y="6524625"/>
          <a:ext cx="5811061" cy="6173061"/>
        </a:xfrm>
        <a:prstGeom prst="rect">
          <a:avLst/>
        </a:prstGeom>
      </xdr:spPr>
    </xdr:pic>
    <xdr:clientData/>
  </xdr:twoCellAnchor>
  <xdr:twoCellAnchor editAs="oneCell">
    <xdr:from>
      <xdr:col>1</xdr:col>
      <xdr:colOff>0</xdr:colOff>
      <xdr:row>68</xdr:row>
      <xdr:rowOff>0</xdr:rowOff>
    </xdr:from>
    <xdr:to>
      <xdr:col>2</xdr:col>
      <xdr:colOff>4612804</xdr:colOff>
      <xdr:row>75</xdr:row>
      <xdr:rowOff>91638</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762000" y="12954000"/>
          <a:ext cx="5725324" cy="14194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372837</xdr:colOff>
      <xdr:row>4</xdr:row>
      <xdr:rowOff>166009</xdr:rowOff>
    </xdr:from>
    <xdr:to>
      <xdr:col>4</xdr:col>
      <xdr:colOff>237037</xdr:colOff>
      <xdr:row>34</xdr:row>
      <xdr:rowOff>171546</xdr:rowOff>
    </xdr:to>
    <xdr:pic>
      <xdr:nvPicPr>
        <xdr:cNvPr id="2" name="Imagen 1">
          <a:extLst>
            <a:ext uri="{FF2B5EF4-FFF2-40B4-BE49-F238E27FC236}">
              <a16:creationId xmlns:a16="http://schemas.microsoft.com/office/drawing/2014/main" id="{233A0ECD-1846-4C63-8EAD-CDB288194165}"/>
            </a:ext>
          </a:extLst>
        </xdr:cNvPr>
        <xdr:cNvPicPr>
          <a:picLocks noChangeAspect="1"/>
        </xdr:cNvPicPr>
      </xdr:nvPicPr>
      <xdr:blipFill>
        <a:blip xmlns:r="http://schemas.openxmlformats.org/officeDocument/2006/relationships" r:embed="rId1"/>
        <a:stretch>
          <a:fillRect/>
        </a:stretch>
      </xdr:blipFill>
      <xdr:spPr>
        <a:xfrm>
          <a:off x="1148444" y="873580"/>
          <a:ext cx="9342664" cy="5491393"/>
        </a:xfrm>
        <a:prstGeom prst="rect">
          <a:avLst/>
        </a:prstGeom>
      </xdr:spPr>
    </xdr:pic>
    <xdr:clientData/>
  </xdr:twoCellAnchor>
  <xdr:twoCellAnchor editAs="oneCell">
    <xdr:from>
      <xdr:col>0</xdr:col>
      <xdr:colOff>440690</xdr:colOff>
      <xdr:row>39</xdr:row>
      <xdr:rowOff>35561</xdr:rowOff>
    </xdr:from>
    <xdr:to>
      <xdr:col>6</xdr:col>
      <xdr:colOff>100906</xdr:colOff>
      <xdr:row>52</xdr:row>
      <xdr:rowOff>38414</xdr:rowOff>
    </xdr:to>
    <xdr:pic>
      <xdr:nvPicPr>
        <xdr:cNvPr id="3" name="Imagen 2">
          <a:extLst>
            <a:ext uri="{FF2B5EF4-FFF2-40B4-BE49-F238E27FC236}">
              <a16:creationId xmlns:a16="http://schemas.microsoft.com/office/drawing/2014/main" id="{26550A29-B239-4742-8215-C0F9FC2D1F02}"/>
            </a:ext>
          </a:extLst>
        </xdr:cNvPr>
        <xdr:cNvPicPr>
          <a:picLocks noChangeAspect="1"/>
        </xdr:cNvPicPr>
      </xdr:nvPicPr>
      <xdr:blipFill>
        <a:blip xmlns:r="http://schemas.openxmlformats.org/officeDocument/2006/relationships" r:embed="rId2"/>
        <a:stretch>
          <a:fillRect/>
        </a:stretch>
      </xdr:blipFill>
      <xdr:spPr>
        <a:xfrm>
          <a:off x="440690" y="6934382"/>
          <a:ext cx="10133090" cy="2302461"/>
        </a:xfrm>
        <a:prstGeom prst="rect">
          <a:avLst/>
        </a:prstGeom>
      </xdr:spPr>
    </xdr:pic>
    <xdr:clientData/>
  </xdr:twoCellAnchor>
  <xdr:twoCellAnchor editAs="oneCell">
    <xdr:from>
      <xdr:col>1</xdr:col>
      <xdr:colOff>420370</xdr:colOff>
      <xdr:row>52</xdr:row>
      <xdr:rowOff>94160</xdr:rowOff>
    </xdr:from>
    <xdr:to>
      <xdr:col>3</xdr:col>
      <xdr:colOff>5332639</xdr:colOff>
      <xdr:row>86</xdr:row>
      <xdr:rowOff>72875</xdr:rowOff>
    </xdr:to>
    <xdr:pic>
      <xdr:nvPicPr>
        <xdr:cNvPr id="4" name="Imagen 3">
          <a:extLst>
            <a:ext uri="{FF2B5EF4-FFF2-40B4-BE49-F238E27FC236}">
              <a16:creationId xmlns:a16="http://schemas.microsoft.com/office/drawing/2014/main" id="{9C222559-3397-4200-B191-29FD6B8709BB}"/>
            </a:ext>
          </a:extLst>
        </xdr:cNvPr>
        <xdr:cNvPicPr>
          <a:picLocks noChangeAspect="1"/>
        </xdr:cNvPicPr>
      </xdr:nvPicPr>
      <xdr:blipFill>
        <a:blip xmlns:r="http://schemas.openxmlformats.org/officeDocument/2006/relationships" r:embed="rId3"/>
        <a:stretch>
          <a:fillRect/>
        </a:stretch>
      </xdr:blipFill>
      <xdr:spPr>
        <a:xfrm>
          <a:off x="1195977" y="9292589"/>
          <a:ext cx="7693297" cy="5993072"/>
        </a:xfrm>
        <a:prstGeom prst="rect">
          <a:avLst/>
        </a:prstGeom>
      </xdr:spPr>
    </xdr:pic>
    <xdr:clientData/>
  </xdr:twoCellAnchor>
  <xdr:twoCellAnchor editAs="oneCell">
    <xdr:from>
      <xdr:col>1</xdr:col>
      <xdr:colOff>95250</xdr:colOff>
      <xdr:row>87</xdr:row>
      <xdr:rowOff>172720</xdr:rowOff>
    </xdr:from>
    <xdr:to>
      <xdr:col>3</xdr:col>
      <xdr:colOff>5350690</xdr:colOff>
      <xdr:row>111</xdr:row>
      <xdr:rowOff>98995</xdr:rowOff>
    </xdr:to>
    <xdr:pic>
      <xdr:nvPicPr>
        <xdr:cNvPr id="5" name="Imagen 4">
          <a:extLst>
            <a:ext uri="{FF2B5EF4-FFF2-40B4-BE49-F238E27FC236}">
              <a16:creationId xmlns:a16="http://schemas.microsoft.com/office/drawing/2014/main" id="{34D6DCED-4ED0-4EDC-AA97-3ADF55F602F9}"/>
            </a:ext>
          </a:extLst>
        </xdr:cNvPr>
        <xdr:cNvPicPr>
          <a:picLocks noChangeAspect="1"/>
        </xdr:cNvPicPr>
      </xdr:nvPicPr>
      <xdr:blipFill>
        <a:blip xmlns:r="http://schemas.openxmlformats.org/officeDocument/2006/relationships" r:embed="rId4"/>
        <a:stretch>
          <a:fillRect/>
        </a:stretch>
      </xdr:blipFill>
      <xdr:spPr>
        <a:xfrm>
          <a:off x="880110" y="16083280"/>
          <a:ext cx="8028848" cy="4273485"/>
        </a:xfrm>
        <a:prstGeom prst="rect">
          <a:avLst/>
        </a:prstGeom>
      </xdr:spPr>
    </xdr:pic>
    <xdr:clientData/>
  </xdr:twoCellAnchor>
  <xdr:twoCellAnchor editAs="oneCell">
    <xdr:from>
      <xdr:col>16</xdr:col>
      <xdr:colOff>571500</xdr:colOff>
      <xdr:row>0</xdr:row>
      <xdr:rowOff>142875</xdr:rowOff>
    </xdr:from>
    <xdr:to>
      <xdr:col>29</xdr:col>
      <xdr:colOff>745042</xdr:colOff>
      <xdr:row>28</xdr:row>
      <xdr:rowOff>96941</xdr:rowOff>
    </xdr:to>
    <xdr:pic>
      <xdr:nvPicPr>
        <xdr:cNvPr id="6" name="Imagen 5">
          <a:extLst>
            <a:ext uri="{FF2B5EF4-FFF2-40B4-BE49-F238E27FC236}">
              <a16:creationId xmlns:a16="http://schemas.microsoft.com/office/drawing/2014/main" id="{2DA8BEE0-B3C1-49C0-A47B-84EEAE2D4DA8}"/>
            </a:ext>
          </a:extLst>
        </xdr:cNvPr>
        <xdr:cNvPicPr>
          <a:picLocks noChangeAspect="1"/>
        </xdr:cNvPicPr>
      </xdr:nvPicPr>
      <xdr:blipFill>
        <a:blip xmlns:r="http://schemas.openxmlformats.org/officeDocument/2006/relationships" r:embed="rId5"/>
        <a:stretch>
          <a:fillRect/>
        </a:stretch>
      </xdr:blipFill>
      <xdr:spPr>
        <a:xfrm>
          <a:off x="15491460" y="142875"/>
          <a:ext cx="10332907" cy="5217853"/>
        </a:xfrm>
        <a:prstGeom prst="rect">
          <a:avLst/>
        </a:prstGeom>
      </xdr:spPr>
    </xdr:pic>
    <xdr:clientData/>
  </xdr:twoCellAnchor>
  <xdr:twoCellAnchor editAs="oneCell">
    <xdr:from>
      <xdr:col>16</xdr:col>
      <xdr:colOff>587375</xdr:colOff>
      <xdr:row>29</xdr:row>
      <xdr:rowOff>158750</xdr:rowOff>
    </xdr:from>
    <xdr:to>
      <xdr:col>29</xdr:col>
      <xdr:colOff>644695</xdr:colOff>
      <xdr:row>74</xdr:row>
      <xdr:rowOff>41075</xdr:rowOff>
    </xdr:to>
    <xdr:pic>
      <xdr:nvPicPr>
        <xdr:cNvPr id="7" name="Imagen 6">
          <a:extLst>
            <a:ext uri="{FF2B5EF4-FFF2-40B4-BE49-F238E27FC236}">
              <a16:creationId xmlns:a16="http://schemas.microsoft.com/office/drawing/2014/main" id="{2AE14B87-FBEE-490C-A55D-85EBE1E3D05D}"/>
            </a:ext>
          </a:extLst>
        </xdr:cNvPr>
        <xdr:cNvPicPr>
          <a:picLocks noChangeAspect="1"/>
        </xdr:cNvPicPr>
      </xdr:nvPicPr>
      <xdr:blipFill>
        <a:blip xmlns:r="http://schemas.openxmlformats.org/officeDocument/2006/relationships" r:embed="rId6"/>
        <a:stretch>
          <a:fillRect/>
        </a:stretch>
      </xdr:blipFill>
      <xdr:spPr>
        <a:xfrm>
          <a:off x="15507335" y="5462270"/>
          <a:ext cx="10207160" cy="8024295"/>
        </a:xfrm>
        <a:prstGeom prst="rect">
          <a:avLst/>
        </a:prstGeom>
      </xdr:spPr>
    </xdr:pic>
    <xdr:clientData/>
  </xdr:twoCellAnchor>
  <xdr:twoCellAnchor editAs="oneCell">
    <xdr:from>
      <xdr:col>1</xdr:col>
      <xdr:colOff>95250</xdr:colOff>
      <xdr:row>114</xdr:row>
      <xdr:rowOff>15875</xdr:rowOff>
    </xdr:from>
    <xdr:to>
      <xdr:col>7</xdr:col>
      <xdr:colOff>9659</xdr:colOff>
      <xdr:row>157</xdr:row>
      <xdr:rowOff>135673</xdr:rowOff>
    </xdr:to>
    <xdr:pic>
      <xdr:nvPicPr>
        <xdr:cNvPr id="8" name="Imagen 7">
          <a:extLst>
            <a:ext uri="{FF2B5EF4-FFF2-40B4-BE49-F238E27FC236}">
              <a16:creationId xmlns:a16="http://schemas.microsoft.com/office/drawing/2014/main" id="{735B6950-C7FC-40B6-AB38-2366584BF9ED}"/>
            </a:ext>
          </a:extLst>
        </xdr:cNvPr>
        <xdr:cNvPicPr>
          <a:picLocks noChangeAspect="1"/>
        </xdr:cNvPicPr>
      </xdr:nvPicPr>
      <xdr:blipFill>
        <a:blip xmlns:r="http://schemas.openxmlformats.org/officeDocument/2006/relationships" r:embed="rId7"/>
        <a:stretch>
          <a:fillRect/>
        </a:stretch>
      </xdr:blipFill>
      <xdr:spPr>
        <a:xfrm>
          <a:off x="880110" y="20864195"/>
          <a:ext cx="10269444" cy="7907438"/>
        </a:xfrm>
        <a:prstGeom prst="rect">
          <a:avLst/>
        </a:prstGeom>
      </xdr:spPr>
    </xdr:pic>
    <xdr:clientData/>
  </xdr:twoCellAnchor>
  <xdr:twoCellAnchor editAs="oneCell">
    <xdr:from>
      <xdr:col>1</xdr:col>
      <xdr:colOff>206375</xdr:colOff>
      <xdr:row>157</xdr:row>
      <xdr:rowOff>142875</xdr:rowOff>
    </xdr:from>
    <xdr:to>
      <xdr:col>7</xdr:col>
      <xdr:colOff>82679</xdr:colOff>
      <xdr:row>198</xdr:row>
      <xdr:rowOff>54952</xdr:rowOff>
    </xdr:to>
    <xdr:pic>
      <xdr:nvPicPr>
        <xdr:cNvPr id="9" name="Imagen 8">
          <a:extLst>
            <a:ext uri="{FF2B5EF4-FFF2-40B4-BE49-F238E27FC236}">
              <a16:creationId xmlns:a16="http://schemas.microsoft.com/office/drawing/2014/main" id="{F2CCC98A-B88D-4317-9B52-7D7557CAF2AA}"/>
            </a:ext>
          </a:extLst>
        </xdr:cNvPr>
        <xdr:cNvPicPr>
          <a:picLocks noChangeAspect="1"/>
        </xdr:cNvPicPr>
      </xdr:nvPicPr>
      <xdr:blipFill>
        <a:blip xmlns:r="http://schemas.openxmlformats.org/officeDocument/2006/relationships" r:embed="rId8"/>
        <a:stretch>
          <a:fillRect/>
        </a:stretch>
      </xdr:blipFill>
      <xdr:spPr>
        <a:xfrm>
          <a:off x="991235" y="28855035"/>
          <a:ext cx="10229434" cy="7341577"/>
        </a:xfrm>
        <a:prstGeom prst="rect">
          <a:avLst/>
        </a:prstGeom>
      </xdr:spPr>
    </xdr:pic>
    <xdr:clientData/>
  </xdr:twoCellAnchor>
  <xdr:twoCellAnchor editAs="oneCell">
    <xdr:from>
      <xdr:col>17</xdr:col>
      <xdr:colOff>0</xdr:colOff>
      <xdr:row>76</xdr:row>
      <xdr:rowOff>0</xdr:rowOff>
    </xdr:from>
    <xdr:to>
      <xdr:col>27</xdr:col>
      <xdr:colOff>665205</xdr:colOff>
      <xdr:row>109</xdr:row>
      <xdr:rowOff>93631</xdr:rowOff>
    </xdr:to>
    <xdr:pic>
      <xdr:nvPicPr>
        <xdr:cNvPr id="10" name="Imagen 9">
          <a:extLst>
            <a:ext uri="{FF2B5EF4-FFF2-40B4-BE49-F238E27FC236}">
              <a16:creationId xmlns:a16="http://schemas.microsoft.com/office/drawing/2014/main" id="{7A6924EC-41A2-04C0-D94D-D86D16BEEA5B}"/>
            </a:ext>
          </a:extLst>
        </xdr:cNvPr>
        <xdr:cNvPicPr>
          <a:picLocks noChangeAspect="1"/>
        </xdr:cNvPicPr>
      </xdr:nvPicPr>
      <xdr:blipFill>
        <a:blip xmlns:r="http://schemas.openxmlformats.org/officeDocument/2006/relationships" r:embed="rId9"/>
        <a:stretch>
          <a:fillRect/>
        </a:stretch>
      </xdr:blipFill>
      <xdr:spPr>
        <a:xfrm>
          <a:off x="15566571" y="13443857"/>
          <a:ext cx="8430802" cy="5944430"/>
        </a:xfrm>
        <a:prstGeom prst="rect">
          <a:avLst/>
        </a:prstGeom>
      </xdr:spPr>
    </xdr:pic>
    <xdr:clientData/>
  </xdr:twoCellAnchor>
  <xdr:twoCellAnchor editAs="oneCell">
    <xdr:from>
      <xdr:col>17</xdr:col>
      <xdr:colOff>0</xdr:colOff>
      <xdr:row>111</xdr:row>
      <xdr:rowOff>0</xdr:rowOff>
    </xdr:from>
    <xdr:to>
      <xdr:col>26</xdr:col>
      <xdr:colOff>625355</xdr:colOff>
      <xdr:row>140</xdr:row>
      <xdr:rowOff>18135</xdr:rowOff>
    </xdr:to>
    <xdr:pic>
      <xdr:nvPicPr>
        <xdr:cNvPr id="11" name="Imagen 10">
          <a:extLst>
            <a:ext uri="{FF2B5EF4-FFF2-40B4-BE49-F238E27FC236}">
              <a16:creationId xmlns:a16="http://schemas.microsoft.com/office/drawing/2014/main" id="{E8CACF13-271D-9D4A-B5EE-DFFC0DE476AB}"/>
            </a:ext>
          </a:extLst>
        </xdr:cNvPr>
        <xdr:cNvPicPr>
          <a:picLocks noChangeAspect="1"/>
        </xdr:cNvPicPr>
      </xdr:nvPicPr>
      <xdr:blipFill>
        <a:blip xmlns:r="http://schemas.openxmlformats.org/officeDocument/2006/relationships" r:embed="rId10"/>
        <a:stretch>
          <a:fillRect/>
        </a:stretch>
      </xdr:blipFill>
      <xdr:spPr>
        <a:xfrm>
          <a:off x="15566571" y="19635107"/>
          <a:ext cx="7602011" cy="51442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577922</xdr:colOff>
      <xdr:row>20</xdr:row>
      <xdr:rowOff>57149</xdr:rowOff>
    </xdr:from>
    <xdr:to>
      <xdr:col>2</xdr:col>
      <xdr:colOff>2073838</xdr:colOff>
      <xdr:row>46</xdr:row>
      <xdr:rowOff>164886</xdr:rowOff>
    </xdr:to>
    <xdr:pic>
      <xdr:nvPicPr>
        <xdr:cNvPr id="2" name="Imagen 1">
          <a:extLst>
            <a:ext uri="{FF2B5EF4-FFF2-40B4-BE49-F238E27FC236}">
              <a16:creationId xmlns:a16="http://schemas.microsoft.com/office/drawing/2014/main" id="{59D984A2-8D3D-7D18-545D-AD1AA5B7AD8D}"/>
            </a:ext>
          </a:extLst>
        </xdr:cNvPr>
        <xdr:cNvPicPr>
          <a:picLocks noChangeAspect="1"/>
        </xdr:cNvPicPr>
      </xdr:nvPicPr>
      <xdr:blipFill>
        <a:blip xmlns:r="http://schemas.openxmlformats.org/officeDocument/2006/relationships" r:embed="rId1"/>
        <a:stretch>
          <a:fillRect/>
        </a:stretch>
      </xdr:blipFill>
      <xdr:spPr>
        <a:xfrm>
          <a:off x="577922" y="3676649"/>
          <a:ext cx="5968856" cy="4811182"/>
        </a:xfrm>
        <a:prstGeom prst="rect">
          <a:avLst/>
        </a:prstGeom>
      </xdr:spPr>
    </xdr:pic>
    <xdr:clientData/>
  </xdr:twoCellAnchor>
  <xdr:twoCellAnchor editAs="oneCell">
    <xdr:from>
      <xdr:col>2</xdr:col>
      <xdr:colOff>3323849</xdr:colOff>
      <xdr:row>19</xdr:row>
      <xdr:rowOff>110490</xdr:rowOff>
    </xdr:from>
    <xdr:to>
      <xdr:col>8</xdr:col>
      <xdr:colOff>736529</xdr:colOff>
      <xdr:row>42</xdr:row>
      <xdr:rowOff>28575</xdr:rowOff>
    </xdr:to>
    <xdr:pic>
      <xdr:nvPicPr>
        <xdr:cNvPr id="3" name="Imagen 2">
          <a:extLst>
            <a:ext uri="{FF2B5EF4-FFF2-40B4-BE49-F238E27FC236}">
              <a16:creationId xmlns:a16="http://schemas.microsoft.com/office/drawing/2014/main" id="{6DD2E4C0-E9EB-44E6-ABA7-A991625F1D81}"/>
            </a:ext>
          </a:extLst>
        </xdr:cNvPr>
        <xdr:cNvPicPr>
          <a:picLocks noChangeAspect="1"/>
        </xdr:cNvPicPr>
      </xdr:nvPicPr>
      <xdr:blipFill>
        <a:blip xmlns:r="http://schemas.openxmlformats.org/officeDocument/2006/relationships" r:embed="rId2"/>
        <a:stretch>
          <a:fillRect/>
        </a:stretch>
      </xdr:blipFill>
      <xdr:spPr>
        <a:xfrm>
          <a:off x="7800599" y="3549015"/>
          <a:ext cx="5678475" cy="4082415"/>
        </a:xfrm>
        <a:prstGeom prst="rect">
          <a:avLst/>
        </a:prstGeom>
      </xdr:spPr>
    </xdr:pic>
    <xdr:clientData/>
  </xdr:twoCellAnchor>
  <xdr:twoCellAnchor editAs="oneCell">
    <xdr:from>
      <xdr:col>2</xdr:col>
      <xdr:colOff>3329940</xdr:colOff>
      <xdr:row>43</xdr:row>
      <xdr:rowOff>133350</xdr:rowOff>
    </xdr:from>
    <xdr:to>
      <xdr:col>9</xdr:col>
      <xdr:colOff>38097</xdr:colOff>
      <xdr:row>78</xdr:row>
      <xdr:rowOff>173355</xdr:rowOff>
    </xdr:to>
    <xdr:pic>
      <xdr:nvPicPr>
        <xdr:cNvPr id="4" name="Imagen 3">
          <a:extLst>
            <a:ext uri="{FF2B5EF4-FFF2-40B4-BE49-F238E27FC236}">
              <a16:creationId xmlns:a16="http://schemas.microsoft.com/office/drawing/2014/main" id="{D982DE59-195A-407B-AA0E-1C566B2A2A19}"/>
            </a:ext>
          </a:extLst>
        </xdr:cNvPr>
        <xdr:cNvPicPr>
          <a:picLocks noChangeAspect="1"/>
        </xdr:cNvPicPr>
      </xdr:nvPicPr>
      <xdr:blipFill>
        <a:blip xmlns:r="http://schemas.openxmlformats.org/officeDocument/2006/relationships" r:embed="rId3"/>
        <a:stretch>
          <a:fillRect/>
        </a:stretch>
      </xdr:blipFill>
      <xdr:spPr>
        <a:xfrm>
          <a:off x="7806690" y="7915275"/>
          <a:ext cx="5756907" cy="6370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turo.espinosa/Desktop/Huella%20Chile/00%20FE/FE_HuellaChile_DGC_202206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ILADO EMISIONES DIRECTAS"/>
      <sheetName val="COMPILADO EMISIONES IND ENERGÍA"/>
      <sheetName val="COMPILADO OTRAS EMISIONES IND"/>
      <sheetName val="TRANSPORTE DE PERSONAS"/>
      <sheetName val="BENCHMARK_PRODUCTOS"/>
      <sheetName val="FE_HChile_2021_DGC"/>
      <sheetName val="FE_HChile_2021"/>
      <sheetName val="BNE2019_CUADROA2"/>
      <sheetName val="BNE2020_CUADROA2"/>
      <sheetName val="FE_Diesel"/>
      <sheetName val="BNE2019_CUADROA3"/>
      <sheetName val="FE_HuellaChile_2017"/>
      <sheetName val="Hoja1"/>
      <sheetName val="DEFRA_2021"/>
      <sheetName val="GR_Montre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www.fertilizerseurope.com/wp-content/uploads/2020/01/The-carbon-footprint-of-fertilizer-production_Regional-reference-values.pdf" TargetMode="External"/><Relationship Id="rId1" Type="http://schemas.openxmlformats.org/officeDocument/2006/relationships/hyperlink" Target="https://www.fertilizerseurope.com/"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hyperlink" Target="http://www.ghgprotocol.org/corporate-standard" TargetMode="External"/><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A9FDE-CCA4-4A17-897E-4FBC91DC431E}">
  <sheetPr>
    <tabColor theme="7"/>
  </sheetPr>
  <dimension ref="B8:C58"/>
  <sheetViews>
    <sheetView showGridLines="0" tabSelected="1" workbookViewId="0"/>
  </sheetViews>
  <sheetFormatPr baseColWidth="10" defaultColWidth="11.44140625" defaultRowHeight="14.4"/>
  <cols>
    <col min="1" max="1" width="3.33203125" customWidth="1"/>
    <col min="2" max="2" width="29.6640625" bestFit="1" customWidth="1"/>
    <col min="3" max="3" width="103.33203125" bestFit="1" customWidth="1"/>
  </cols>
  <sheetData>
    <row r="8" spans="2:3" ht="25.2" customHeight="1"/>
    <row r="11" spans="2:3">
      <c r="B11" s="516" t="s">
        <v>0</v>
      </c>
      <c r="C11" s="503">
        <v>3</v>
      </c>
    </row>
    <row r="12" spans="2:3">
      <c r="B12" s="516" t="s">
        <v>1</v>
      </c>
      <c r="C12" s="504">
        <v>45728</v>
      </c>
    </row>
    <row r="13" spans="2:3">
      <c r="B13" s="516" t="s">
        <v>2</v>
      </c>
      <c r="C13" s="505" t="s">
        <v>3</v>
      </c>
    </row>
    <row r="14" spans="2:3">
      <c r="B14" s="516" t="s">
        <v>4</v>
      </c>
      <c r="C14" s="505" t="s">
        <v>5</v>
      </c>
    </row>
    <row r="17" spans="2:3" s="78" customFormat="1">
      <c r="B17" s="516" t="s">
        <v>6</v>
      </c>
      <c r="C17" s="516" t="s">
        <v>7</v>
      </c>
    </row>
    <row r="18" spans="2:3" s="78" customFormat="1">
      <c r="B18" s="515" t="s">
        <v>8</v>
      </c>
      <c r="C18" s="506" t="s">
        <v>9</v>
      </c>
    </row>
    <row r="19" spans="2:3" s="78" customFormat="1">
      <c r="B19" s="515" t="s">
        <v>10</v>
      </c>
      <c r="C19" s="506" t="s">
        <v>11</v>
      </c>
    </row>
    <row r="20" spans="2:3" s="78" customFormat="1">
      <c r="B20" s="515" t="s">
        <v>2235</v>
      </c>
      <c r="C20" s="506" t="s">
        <v>2236</v>
      </c>
    </row>
    <row r="21" spans="2:3" s="78" customFormat="1" ht="28.8">
      <c r="B21" s="507" t="s">
        <v>12</v>
      </c>
      <c r="C21" s="506" t="s">
        <v>13</v>
      </c>
    </row>
    <row r="22" spans="2:3" s="78" customFormat="1" ht="28.8">
      <c r="B22" s="508" t="s">
        <v>14</v>
      </c>
      <c r="C22" s="506" t="s">
        <v>15</v>
      </c>
    </row>
    <row r="23" spans="2:3" s="78" customFormat="1" ht="28.8">
      <c r="B23" s="507" t="s">
        <v>16</v>
      </c>
      <c r="C23" s="506" t="s">
        <v>17</v>
      </c>
    </row>
    <row r="24" spans="2:3" s="78" customFormat="1" ht="28.8">
      <c r="B24" s="508" t="s">
        <v>18</v>
      </c>
      <c r="C24" s="506" t="s">
        <v>19</v>
      </c>
    </row>
    <row r="25" spans="2:3" s="78" customFormat="1" ht="28.8">
      <c r="B25" s="508" t="s">
        <v>20</v>
      </c>
      <c r="C25" s="506" t="s">
        <v>21</v>
      </c>
    </row>
    <row r="26" spans="2:3" s="78" customFormat="1" ht="28.8">
      <c r="B26" s="508" t="s">
        <v>22</v>
      </c>
      <c r="C26" s="506" t="s">
        <v>23</v>
      </c>
    </row>
    <row r="27" spans="2:3" s="78" customFormat="1" ht="28.8">
      <c r="B27" s="507" t="s">
        <v>24</v>
      </c>
      <c r="C27" s="506" t="s">
        <v>25</v>
      </c>
    </row>
    <row r="28" spans="2:3" s="78" customFormat="1" ht="43.2">
      <c r="B28" s="508" t="s">
        <v>26</v>
      </c>
      <c r="C28" s="506" t="s">
        <v>27</v>
      </c>
    </row>
    <row r="29" spans="2:3" s="78" customFormat="1" ht="43.2">
      <c r="B29" s="508" t="s">
        <v>28</v>
      </c>
      <c r="C29" s="506" t="s">
        <v>29</v>
      </c>
    </row>
    <row r="30" spans="2:3" s="78" customFormat="1" ht="43.2">
      <c r="B30" s="508" t="s">
        <v>30</v>
      </c>
      <c r="C30" s="506" t="s">
        <v>31</v>
      </c>
    </row>
    <row r="31" spans="2:3" s="78" customFormat="1" ht="28.8">
      <c r="B31" s="508" t="s">
        <v>32</v>
      </c>
      <c r="C31" s="506" t="s">
        <v>33</v>
      </c>
    </row>
    <row r="32" spans="2:3" s="78" customFormat="1" ht="43.2">
      <c r="B32" s="508" t="s">
        <v>34</v>
      </c>
      <c r="C32" s="506" t="s">
        <v>35</v>
      </c>
    </row>
    <row r="33" spans="2:3" s="78" customFormat="1">
      <c r="B33" s="507" t="s">
        <v>36</v>
      </c>
      <c r="C33" s="506" t="s">
        <v>37</v>
      </c>
    </row>
    <row r="34" spans="2:3" s="78" customFormat="1">
      <c r="B34" s="508" t="s">
        <v>38</v>
      </c>
      <c r="C34" s="506" t="s">
        <v>39</v>
      </c>
    </row>
    <row r="35" spans="2:3" s="78" customFormat="1">
      <c r="B35" s="508" t="s">
        <v>40</v>
      </c>
      <c r="C35" s="506" t="s">
        <v>41</v>
      </c>
    </row>
    <row r="36" spans="2:3" s="78" customFormat="1" ht="43.2" customHeight="1">
      <c r="B36" s="509" t="s">
        <v>42</v>
      </c>
      <c r="C36" s="510" t="s">
        <v>43</v>
      </c>
    </row>
    <row r="37" spans="2:3" s="78" customFormat="1" ht="48.6" customHeight="1">
      <c r="B37" s="509" t="s">
        <v>44</v>
      </c>
      <c r="C37" s="510" t="s">
        <v>45</v>
      </c>
    </row>
    <row r="38" spans="2:3" s="78" customFormat="1" ht="28.8">
      <c r="B38" s="509" t="s">
        <v>46</v>
      </c>
      <c r="C38" s="510" t="s">
        <v>47</v>
      </c>
    </row>
    <row r="39" spans="2:3" s="78" customFormat="1" ht="28.8">
      <c r="B39" s="511" t="s">
        <v>48</v>
      </c>
      <c r="C39" s="510" t="s">
        <v>49</v>
      </c>
    </row>
    <row r="40" spans="2:3" s="78" customFormat="1" ht="28.8">
      <c r="B40" s="512" t="s">
        <v>50</v>
      </c>
      <c r="C40" s="510" t="s">
        <v>51</v>
      </c>
    </row>
    <row r="41" spans="2:3" s="78" customFormat="1">
      <c r="B41" s="513" t="s">
        <v>52</v>
      </c>
      <c r="C41" s="514" t="s">
        <v>53</v>
      </c>
    </row>
    <row r="42" spans="2:3" s="78" customFormat="1">
      <c r="B42" s="513" t="s">
        <v>54</v>
      </c>
      <c r="C42" s="514" t="s">
        <v>55</v>
      </c>
    </row>
    <row r="43" spans="2:3" s="78" customFormat="1">
      <c r="B43" s="513" t="s">
        <v>56</v>
      </c>
      <c r="C43" s="514" t="s">
        <v>57</v>
      </c>
    </row>
    <row r="44" spans="2:3" s="78" customFormat="1">
      <c r="B44" s="513" t="s">
        <v>58</v>
      </c>
      <c r="C44" s="514" t="s">
        <v>59</v>
      </c>
    </row>
    <row r="45" spans="2:3" s="78" customFormat="1">
      <c r="B45" s="513" t="s">
        <v>60</v>
      </c>
      <c r="C45" s="514" t="s">
        <v>61</v>
      </c>
    </row>
    <row r="46" spans="2:3" s="78" customFormat="1">
      <c r="B46" s="513" t="s">
        <v>62</v>
      </c>
      <c r="C46" s="514" t="s">
        <v>63</v>
      </c>
    </row>
    <row r="47" spans="2:3" s="78" customFormat="1">
      <c r="B47" s="513" t="s">
        <v>64</v>
      </c>
      <c r="C47" s="514" t="s">
        <v>65</v>
      </c>
    </row>
    <row r="48" spans="2:3" s="78" customFormat="1">
      <c r="B48" s="513" t="s">
        <v>66</v>
      </c>
      <c r="C48" s="514" t="s">
        <v>67</v>
      </c>
    </row>
    <row r="49" spans="2:3" s="78" customFormat="1" ht="43.2">
      <c r="B49" s="512" t="s">
        <v>68</v>
      </c>
      <c r="C49" s="510" t="s">
        <v>69</v>
      </c>
    </row>
    <row r="50" spans="2:3" s="78" customFormat="1">
      <c r="B50" s="513" t="s">
        <v>70</v>
      </c>
      <c r="C50" s="514" t="s">
        <v>71</v>
      </c>
    </row>
    <row r="51" spans="2:3" s="78" customFormat="1">
      <c r="B51" s="513" t="s">
        <v>72</v>
      </c>
      <c r="C51" s="514" t="s">
        <v>73</v>
      </c>
    </row>
    <row r="52" spans="2:3" s="78" customFormat="1">
      <c r="B52" s="513" t="s">
        <v>74</v>
      </c>
      <c r="C52" s="514" t="s">
        <v>75</v>
      </c>
    </row>
    <row r="53" spans="2:3" s="78" customFormat="1">
      <c r="B53" s="512" t="s">
        <v>76</v>
      </c>
      <c r="C53" s="514" t="s">
        <v>77</v>
      </c>
    </row>
    <row r="54" spans="2:3" s="78" customFormat="1">
      <c r="B54" s="513" t="s">
        <v>78</v>
      </c>
      <c r="C54" s="514" t="s">
        <v>79</v>
      </c>
    </row>
    <row r="55" spans="2:3" s="78" customFormat="1">
      <c r="B55" s="512" t="s">
        <v>80</v>
      </c>
      <c r="C55" s="514" t="s">
        <v>81</v>
      </c>
    </row>
    <row r="56" spans="2:3" s="78" customFormat="1">
      <c r="B56" s="512" t="s">
        <v>82</v>
      </c>
      <c r="C56" s="514" t="s">
        <v>83</v>
      </c>
    </row>
    <row r="57" spans="2:3" s="78" customFormat="1">
      <c r="B57" s="512" t="s">
        <v>84</v>
      </c>
      <c r="C57" s="514" t="s">
        <v>85</v>
      </c>
    </row>
    <row r="58" spans="2:3" s="78" customFormat="1">
      <c r="B58" s="513" t="s">
        <v>86</v>
      </c>
      <c r="C58" s="514" t="s">
        <v>87</v>
      </c>
    </row>
  </sheetData>
  <sheetProtection algorithmName="SHA-512" hashValue="6nt6gRnGCw2zT6F1ZYaK6pcy9FIOFfs4ZHw0p820URXoJU9pPkNMgoHrL66yAwgN69fsD46LNdISVejo3fX1KA==" saltValue="dB5s1yakigCGSNWwa/41Dg==" spinCount="100000" sheet="1" objects="1" scenarios="1" autoFilter="0"/>
  <hyperlinks>
    <hyperlink ref="B21" location="'1.1 Combustión estacionaria'!A1" display="1.1 Combustión estacionaria" xr:uid="{44F636A0-9935-42D0-B994-F88B9DC99D7C}"/>
    <hyperlink ref="B23" location="'1.2 Combustión móvil'!A1" display="1.2 Combustión móvil" xr:uid="{76F9F3BE-9297-4772-9310-37347527EDBE}"/>
    <hyperlink ref="B22" location="'1.1 V2 CH2 T2.4'!A1" display="1.1 V2 CH2 T2.4" xr:uid="{99824A53-305D-46E3-8932-B6576897952C}"/>
    <hyperlink ref="B24" location="'1.2 V2 CH3 T3.2.1'!A1" display="1.2 V2 CH3 T3.2.1" xr:uid="{7BD3735D-0353-4EF3-9405-552F639C33F6}"/>
    <hyperlink ref="B25" location="'1.2 V2 CH3 T3.2.2'!A1" display="1.2 V2 CH3 T3.2.2" xr:uid="{74AEB545-395F-4E84-9E38-AF2E143437C5}"/>
    <hyperlink ref="B26" location="'1.1 y 1.2CUADROA2 - BNE 2020-21'!A1" display="1.1 y 1.2CUADROA2 - BNE 2020-21" xr:uid="{71C792CC-580B-4F4E-AA22-A2008C57584B}"/>
    <hyperlink ref="B27" location="'1.3 Procesos industriales'!A1" display="1.3 Procesos industriales" xr:uid="{6DE922D0-08F6-4339-B151-1742AC5441E4}"/>
    <hyperlink ref="B28" location="'1.3 P.I. Cemento'!A1" display="1.3 P.I. Cemento" xr:uid="{5504357A-ACBA-43ED-BE12-70F8FE2C12AA}"/>
    <hyperlink ref="B29" location="'1.3 P.I. Cal'!A1" display="1.3 P.I. Cal" xr:uid="{CAB6F600-8519-4CEE-9FED-90E7ABFCA4F0}"/>
    <hyperlink ref="B30" location="'1.3 P.I. Vidrio'!A1" display="1.3 P.I. Vidrio" xr:uid="{31F33740-C601-4185-9870-587225FE679B}"/>
    <hyperlink ref="B31" location="'1.3 P.I. Hierro, Acero y Coque'!A1" display="1.3 P.I. Hierro, Acero y Coque" xr:uid="{18D66C32-59D5-4FB4-8ABA-E6C33259E22F}"/>
    <hyperlink ref="B32" location="'1.3 P.I. Ácido Nítrico'!A1" display="1.3 P.I. Ácido Nítrico" xr:uid="{446593E0-4A4A-43E5-BAA5-FAEF145B27CB}"/>
    <hyperlink ref="B33" location="'1.4 Emisiones fugitivas'!A1" display="1.4 Emisiones fugitivas" xr:uid="{8CF1CE72-7FB5-405B-A19D-828C57376DE1}"/>
    <hyperlink ref="B34" location="'1.4 AR5 CH8  T8.A.1'!A1" display="1.4 AR5 CH8  T8.A.1" xr:uid="{964BC7FD-79D1-4CA1-911B-370C15122CD1}"/>
    <hyperlink ref="B35" location="'1.4 V3 CH7 T7.8'!A1" display="1.4 V3 CH7 T7.8" xr:uid="{269CC2B2-5949-46A9-B6BC-E09787F1EDF7}"/>
    <hyperlink ref="B36" location="'2.1 Electricidad'!A1" display="2.1 Electricidad" xr:uid="{CB87CB09-6DCB-4BFB-BD9F-26551468266F}"/>
    <hyperlink ref="B37" location="'2.2 Perdidas por T&amp;D'!A1" display="2.2 Perdidas por T&amp;D" xr:uid="{214012E3-C4D0-4F18-B57D-EBCD2FEE2784}"/>
    <hyperlink ref="B38" location="'2.3 Adq. de otras energías'!A1" display="2.3 Adq. de otras energías" xr:uid="{6255AC71-0CA7-4FA9-97EC-07E13BA0BAF0}"/>
    <hyperlink ref="B39" location="'2.3 V2 CH2 T2.2'!A1" display="2.3 V2 CH2 T2.2" xr:uid="{B54882BC-CC57-4DDB-9028-2F740482B175}"/>
    <hyperlink ref="B40" location="'3.1 Adq. Bienes y servicios'!A1" display="3.1 Adq. Bienes y servicios" xr:uid="{0D841FF1-6931-42AA-A492-96B15D36AE14}"/>
    <hyperlink ref="B41" location="'3.1 Fertilizantes'!A1" display="3.1 Fertilizantes" xr:uid="{6064B103-D850-47E0-A3E0-AB6EFF588303}"/>
    <hyperlink ref="B42" location="'3.1 Material use'!A1" display="3.1 Material use" xr:uid="{7877009D-E290-4C1B-810A-E1B4994F29A7}"/>
    <hyperlink ref="B43" location="'3.1 WTT- fuels'!A1" display="3.1 WTT- fuels" xr:uid="{1A1DC14D-060A-4B4C-8760-B9714A023439}"/>
    <hyperlink ref="B44" location="'3.1 WTT- bioenergy'!A1" display="3.1 WTT- bioenergy" xr:uid="{F3A4AFFB-F660-4E94-AD6F-9478E5F10300}"/>
    <hyperlink ref="B45" location="'3.1 Water treatment'!A1" display="3.1 Water treatment" xr:uid="{4CADEC87-792C-4B2A-B110-FFCE5889AA32}"/>
    <hyperlink ref="B46" location="'3.1 Water supply'!A1" display="3.1 Water supply" xr:uid="{81405E9C-4BC1-4C12-85D1-2C0CA4D38266}"/>
    <hyperlink ref="B47" location="'3.1 Hotel stay'!A1" display="3.1 Hotel stay" xr:uid="{83279303-7240-455B-B9AB-5A94316E9321}"/>
    <hyperlink ref="B48" location="'3.1 Homeworking'!A1" display="3.1 Homeworking" xr:uid="{712E1C4D-7D64-41E6-B84B-E375D6D5A6B1}"/>
    <hyperlink ref="B49" location="'3.2 Transporte de personas'!A1" display="3.2 Transporte de personas" xr:uid="{20D0060A-53D5-4AF1-AFF5-31DFC75D60AC}"/>
    <hyperlink ref="B50" location="'3.2 Business travel- air'!A1" display="3.2 Business travel- air" xr:uid="{A5B00953-D4F6-43AC-8405-0AE3E2FB6D03}"/>
    <hyperlink ref="B51" location="'3.2 Business travel- land'!A1" display="3.2 Business travel- land" xr:uid="{60F337BB-A878-46D6-A561-0B8685CAC7C0}"/>
    <hyperlink ref="B52" location="'3.2 Passenger vehicles'!A1" display="3.2 Passenger vehicles" xr:uid="{E299D60A-BB83-473F-80C9-D10707811DAA}"/>
    <hyperlink ref="B53" location="'3.3 Transporte de carga'!A1" display="3.3 Transporte de carga" xr:uid="{2E2C87A3-F996-4897-B68C-74CEFB6BDB27}"/>
    <hyperlink ref="B54" location="'3.3 Freighting goods'!A1" display="3.3 Freighting goods" xr:uid="{ED1A81A3-B859-4AE9-AC9C-91C4C303E5DE}"/>
    <hyperlink ref="B55" location="'3.4 Transporte de residuos'!A1" display="3.4 Transporte de residuos" xr:uid="{43931BD7-08E8-4703-8CE8-CC3A221AAE35}"/>
    <hyperlink ref="B56" location="'3.5 Uso de productos'!A1" display="3.5 Uso de productos" xr:uid="{2ACCFE90-FC82-412C-B851-F91E3642FFF4}"/>
    <hyperlink ref="B57" location="'3.6 Trat. yo disp. de residuos'!A1" display="3.6 Trat. y/o disp. de residuos" xr:uid="{B846C173-E568-4FB4-A385-FA41FFF3D192}"/>
    <hyperlink ref="B58" location="'3.6 Waste disposal'!A1" display="3.6 Waste disposal" xr:uid="{DBE497B1-6F4B-4ED6-9310-6215AF8DF7E9}"/>
    <hyperlink ref="B19" location="RESUMEN!A1" display="Resumen" xr:uid="{2123354C-115F-4F15-9587-17A2086FB35F}"/>
    <hyperlink ref="B18" location="INICIO!A1" display="INICIO" xr:uid="{CC181625-418B-4658-A28D-95F9AE0E5F98}"/>
    <hyperlink ref="B20" location="'CONTROL DE CAMBIOS'!A1" display="CONTROL DE CAMBIOS" xr:uid="{2C50F624-2215-4A7C-AE63-2D8F594D70A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B2:H13"/>
  <sheetViews>
    <sheetView showGridLines="0" workbookViewId="0"/>
  </sheetViews>
  <sheetFormatPr baseColWidth="10" defaultColWidth="9.109375" defaultRowHeight="14.4"/>
  <cols>
    <col min="2" max="2" width="49" customWidth="1"/>
    <col min="3" max="8" width="16.88671875" customWidth="1"/>
  </cols>
  <sheetData>
    <row r="2" spans="2:8" ht="33" customHeight="1">
      <c r="B2" s="597" t="s">
        <v>561</v>
      </c>
      <c r="C2" s="520"/>
      <c r="D2" s="520"/>
      <c r="E2" s="520"/>
      <c r="F2" s="520"/>
      <c r="G2" s="520"/>
      <c r="H2" s="520"/>
    </row>
    <row r="3" spans="2:8" ht="18" customHeight="1">
      <c r="B3" s="524" t="s">
        <v>562</v>
      </c>
      <c r="C3" s="520" t="s">
        <v>563</v>
      </c>
      <c r="D3" s="520"/>
      <c r="E3" s="520"/>
      <c r="F3" s="521" t="s">
        <v>564</v>
      </c>
      <c r="G3" s="521"/>
      <c r="H3" s="521"/>
    </row>
    <row r="4" spans="2:8" ht="33" customHeight="1">
      <c r="B4" s="524"/>
      <c r="C4" s="110" t="s">
        <v>556</v>
      </c>
      <c r="D4" s="110" t="s">
        <v>424</v>
      </c>
      <c r="E4" s="110" t="s">
        <v>425</v>
      </c>
      <c r="F4" s="110" t="s">
        <v>556</v>
      </c>
      <c r="G4" s="110" t="s">
        <v>424</v>
      </c>
      <c r="H4" s="110" t="s">
        <v>425</v>
      </c>
    </row>
    <row r="5" spans="2:8">
      <c r="B5" s="111" t="s">
        <v>565</v>
      </c>
      <c r="C5" s="79">
        <v>33</v>
      </c>
      <c r="D5" s="79">
        <v>9.6</v>
      </c>
      <c r="E5" s="79">
        <v>110</v>
      </c>
      <c r="F5" s="79">
        <v>3.2</v>
      </c>
      <c r="G5" s="79">
        <v>0.96</v>
      </c>
      <c r="H5" s="79">
        <v>11</v>
      </c>
    </row>
    <row r="6" spans="2:8" ht="19.5" customHeight="1">
      <c r="B6" s="111" t="s">
        <v>566</v>
      </c>
      <c r="C6" s="79">
        <v>25</v>
      </c>
      <c r="D6" s="79">
        <v>7.5</v>
      </c>
      <c r="E6" s="79">
        <v>86</v>
      </c>
      <c r="F6" s="79">
        <v>8</v>
      </c>
      <c r="G6" s="79">
        <v>2.6</v>
      </c>
      <c r="H6" s="79">
        <v>24</v>
      </c>
    </row>
    <row r="7" spans="2:8" ht="28.5" customHeight="1">
      <c r="B7" s="111" t="s">
        <v>567</v>
      </c>
      <c r="C7" s="79">
        <v>3.8</v>
      </c>
      <c r="D7" s="79">
        <v>1.1000000000000001</v>
      </c>
      <c r="E7" s="79">
        <v>13</v>
      </c>
      <c r="F7" s="79">
        <v>5.7</v>
      </c>
      <c r="G7" s="79">
        <v>1.9</v>
      </c>
      <c r="H7" s="79">
        <v>17</v>
      </c>
    </row>
    <row r="8" spans="2:8">
      <c r="B8" s="111" t="s">
        <v>568</v>
      </c>
      <c r="C8" s="79">
        <v>3.9</v>
      </c>
      <c r="D8" s="79">
        <v>1.6</v>
      </c>
      <c r="E8" s="79">
        <v>9.5</v>
      </c>
      <c r="F8" s="79">
        <v>3.9</v>
      </c>
      <c r="G8" s="79">
        <v>1.3</v>
      </c>
      <c r="H8" s="79">
        <v>12</v>
      </c>
    </row>
    <row r="9" spans="2:8">
      <c r="B9" s="111" t="s">
        <v>569</v>
      </c>
      <c r="C9" s="79">
        <v>92</v>
      </c>
      <c r="D9" s="79">
        <v>50</v>
      </c>
      <c r="E9" s="107">
        <v>1540</v>
      </c>
      <c r="F9" s="79">
        <v>3</v>
      </c>
      <c r="G9" s="79">
        <v>1</v>
      </c>
      <c r="H9" s="79">
        <v>77</v>
      </c>
    </row>
    <row r="10" spans="2:8">
      <c r="B10" s="111" t="s">
        <v>570</v>
      </c>
      <c r="C10" s="79">
        <v>62</v>
      </c>
      <c r="D10" s="79" t="s">
        <v>571</v>
      </c>
      <c r="E10" s="79" t="s">
        <v>571</v>
      </c>
      <c r="F10" s="79">
        <v>0.2</v>
      </c>
      <c r="G10" s="79" t="s">
        <v>571</v>
      </c>
      <c r="H10" s="79" t="s">
        <v>571</v>
      </c>
    </row>
    <row r="11" spans="2:8">
      <c r="B11" s="111" t="s">
        <v>572</v>
      </c>
      <c r="C11" s="79">
        <v>260</v>
      </c>
      <c r="D11" s="79">
        <v>77</v>
      </c>
      <c r="E11" s="79">
        <v>880</v>
      </c>
      <c r="F11" s="79">
        <v>41</v>
      </c>
      <c r="G11" s="79">
        <v>13</v>
      </c>
      <c r="H11" s="79">
        <v>123</v>
      </c>
    </row>
    <row r="12" spans="2:8">
      <c r="B12" s="111" t="s">
        <v>573</v>
      </c>
      <c r="C12" s="79">
        <v>18</v>
      </c>
      <c r="D12" s="79">
        <v>13</v>
      </c>
      <c r="E12" s="79">
        <v>84</v>
      </c>
      <c r="F12" s="79" t="s">
        <v>571</v>
      </c>
      <c r="G12" s="79" t="s">
        <v>571</v>
      </c>
      <c r="H12" s="79" t="s">
        <v>571</v>
      </c>
    </row>
    <row r="13" spans="2:8" ht="399.75" customHeight="1">
      <c r="B13" s="598" t="s">
        <v>574</v>
      </c>
      <c r="C13" s="598"/>
      <c r="D13" s="598"/>
      <c r="E13" s="598"/>
      <c r="F13" s="598"/>
      <c r="G13" s="598"/>
      <c r="H13" s="598"/>
    </row>
  </sheetData>
  <sheetProtection algorithmName="SHA-512" hashValue="6Z3u6/V4ryxg/s13WKTvJDwRmlw7RgnYVAiDZ7zKhhv+Vju2uTa4bL6AgYknNe92KpDQfB3x/UzMp1BIsqFUKQ==" saltValue="gi+thWSifDBdqnc04qE25w==" spinCount="100000" sheet="1" objects="1" scenarios="1" autoFilter="0"/>
  <mergeCells count="5">
    <mergeCell ref="B2:H2"/>
    <mergeCell ref="C3:E3"/>
    <mergeCell ref="F3:H3"/>
    <mergeCell ref="B3:B4"/>
    <mergeCell ref="B13:H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1:V69"/>
  <sheetViews>
    <sheetView showGridLines="0" workbookViewId="0"/>
  </sheetViews>
  <sheetFormatPr baseColWidth="10" defaultColWidth="11.44140625" defaultRowHeight="13.2"/>
  <cols>
    <col min="1" max="1" width="1.6640625" style="40" customWidth="1"/>
    <col min="2" max="2" width="26.5546875" style="41" customWidth="1"/>
    <col min="3" max="3" width="11.44140625" style="41"/>
    <col min="4" max="4" width="13.109375" style="41" customWidth="1"/>
    <col min="5" max="5" width="6.6640625" style="40" customWidth="1"/>
    <col min="6" max="6" width="4.88671875" style="40" customWidth="1"/>
    <col min="7" max="7" width="22" style="40" customWidth="1"/>
    <col min="8" max="22" width="11.44140625" style="40"/>
    <col min="23" max="16384" width="11.44140625" style="41"/>
  </cols>
  <sheetData>
    <row r="1" spans="1:22" ht="9" customHeight="1"/>
    <row r="2" spans="1:22" s="44" customFormat="1">
      <c r="A2" s="42"/>
      <c r="B2" s="43" t="s">
        <v>575</v>
      </c>
      <c r="C2" s="43"/>
      <c r="D2" s="43"/>
      <c r="E2" s="43"/>
      <c r="H2" s="45"/>
      <c r="I2" s="45"/>
      <c r="J2" s="45"/>
      <c r="K2" s="45"/>
      <c r="L2" s="45"/>
      <c r="M2" s="45"/>
      <c r="N2" s="45"/>
      <c r="O2" s="45"/>
      <c r="P2" s="45"/>
      <c r="Q2" s="45"/>
      <c r="R2" s="45"/>
      <c r="S2" s="45"/>
      <c r="T2" s="45"/>
      <c r="U2" s="45"/>
      <c r="V2" s="45"/>
    </row>
    <row r="3" spans="1:22" s="44" customFormat="1">
      <c r="A3" s="42"/>
      <c r="B3" s="43" t="s">
        <v>576</v>
      </c>
      <c r="C3" s="43"/>
      <c r="D3" s="43"/>
      <c r="E3" s="43"/>
      <c r="G3" s="45"/>
      <c r="H3" s="45"/>
      <c r="I3" s="45"/>
      <c r="J3" s="45"/>
      <c r="K3" s="45"/>
      <c r="L3" s="45"/>
      <c r="M3" s="45"/>
      <c r="N3" s="45"/>
      <c r="O3" s="45"/>
      <c r="P3" s="45"/>
      <c r="Q3" s="45"/>
      <c r="R3" s="45"/>
      <c r="S3" s="45"/>
      <c r="T3" s="45"/>
      <c r="U3" s="45"/>
      <c r="V3" s="45"/>
    </row>
    <row r="4" spans="1:22" s="44" customFormat="1">
      <c r="A4" s="42"/>
      <c r="B4" s="46"/>
      <c r="C4" s="43"/>
      <c r="D4" s="43"/>
      <c r="E4" s="43"/>
      <c r="G4" s="45"/>
      <c r="H4" s="45"/>
      <c r="I4" s="45"/>
      <c r="J4" s="45"/>
      <c r="K4" s="45"/>
      <c r="L4" s="45"/>
      <c r="M4" s="45"/>
      <c r="N4" s="45"/>
      <c r="O4" s="45"/>
      <c r="P4" s="45"/>
      <c r="Q4" s="45"/>
      <c r="R4" s="45"/>
      <c r="S4" s="45"/>
      <c r="T4" s="45"/>
      <c r="U4" s="45"/>
      <c r="V4" s="45"/>
    </row>
    <row r="5" spans="1:22" s="44" customFormat="1">
      <c r="A5" s="42"/>
      <c r="B5" s="46"/>
      <c r="C5" s="43"/>
      <c r="D5" s="43"/>
      <c r="E5" s="43"/>
      <c r="G5" s="45"/>
      <c r="H5" s="45"/>
      <c r="I5" s="45"/>
      <c r="J5" s="45"/>
      <c r="K5" s="45"/>
      <c r="L5" s="45"/>
      <c r="M5" s="45"/>
      <c r="N5" s="45"/>
      <c r="O5" s="45"/>
      <c r="P5" s="45"/>
      <c r="Q5" s="45"/>
      <c r="R5" s="45"/>
      <c r="S5" s="45"/>
      <c r="T5" s="45"/>
      <c r="U5" s="45"/>
      <c r="V5" s="45"/>
    </row>
    <row r="6" spans="1:22" s="44" customFormat="1">
      <c r="A6" s="42"/>
      <c r="B6" s="599" t="s">
        <v>577</v>
      </c>
      <c r="C6" s="599"/>
      <c r="D6" s="599"/>
      <c r="E6" s="599"/>
      <c r="G6" s="599" t="s">
        <v>578</v>
      </c>
      <c r="H6" s="599"/>
      <c r="I6" s="599"/>
      <c r="J6" s="599"/>
      <c r="K6" s="45"/>
      <c r="L6" s="45"/>
      <c r="M6" s="45"/>
      <c r="N6" s="45"/>
      <c r="O6" s="45"/>
      <c r="P6" s="45"/>
      <c r="Q6" s="45"/>
      <c r="R6" s="45"/>
      <c r="S6" s="45"/>
      <c r="T6" s="45"/>
      <c r="U6" s="45"/>
      <c r="V6" s="45"/>
    </row>
    <row r="7" spans="1:22" s="44" customFormat="1" ht="15" customHeight="1">
      <c r="A7" s="42"/>
      <c r="B7" s="600" t="s">
        <v>579</v>
      </c>
      <c r="C7" s="600" t="s">
        <v>580</v>
      </c>
      <c r="D7" s="600" t="s">
        <v>581</v>
      </c>
      <c r="E7" s="601" t="s">
        <v>345</v>
      </c>
      <c r="G7" s="600" t="s">
        <v>579</v>
      </c>
      <c r="H7" s="600" t="s">
        <v>580</v>
      </c>
      <c r="I7" s="600" t="s">
        <v>581</v>
      </c>
      <c r="J7" s="601" t="s">
        <v>345</v>
      </c>
      <c r="K7" s="45"/>
      <c r="L7" s="45"/>
      <c r="M7" s="45"/>
      <c r="N7" s="45"/>
      <c r="O7" s="45"/>
      <c r="P7" s="45"/>
      <c r="Q7" s="45"/>
      <c r="R7" s="45"/>
      <c r="S7" s="45"/>
      <c r="T7" s="45"/>
      <c r="U7" s="45"/>
      <c r="V7" s="45"/>
    </row>
    <row r="8" spans="1:22" s="44" customFormat="1">
      <c r="A8" s="42"/>
      <c r="B8" s="600"/>
      <c r="C8" s="600"/>
      <c r="D8" s="600"/>
      <c r="E8" s="601"/>
      <c r="G8" s="600"/>
      <c r="H8" s="600"/>
      <c r="I8" s="600"/>
      <c r="J8" s="601"/>
      <c r="K8" s="45"/>
      <c r="L8" s="45"/>
      <c r="M8" s="45"/>
      <c r="N8" s="45"/>
      <c r="O8" s="45"/>
      <c r="P8" s="45"/>
      <c r="Q8" s="45"/>
      <c r="R8" s="45"/>
      <c r="S8" s="45"/>
      <c r="T8" s="45"/>
      <c r="U8" s="45"/>
      <c r="V8" s="45"/>
    </row>
    <row r="9" spans="1:22" s="44" customFormat="1">
      <c r="A9" s="42"/>
      <c r="B9" s="47" t="s">
        <v>582</v>
      </c>
      <c r="C9" s="48">
        <v>0.82450000000000001</v>
      </c>
      <c r="D9" s="49">
        <v>10963</v>
      </c>
      <c r="E9" s="47" t="s">
        <v>400</v>
      </c>
      <c r="F9" s="45"/>
      <c r="G9" s="47" t="s">
        <v>582</v>
      </c>
      <c r="H9" s="48">
        <v>0.82450000000000001</v>
      </c>
      <c r="I9" s="49">
        <v>10963</v>
      </c>
      <c r="J9" s="47" t="s">
        <v>400</v>
      </c>
      <c r="K9" s="50"/>
      <c r="L9" s="51"/>
      <c r="M9" s="51"/>
      <c r="N9" s="45"/>
      <c r="O9" s="45"/>
      <c r="P9" s="45"/>
      <c r="Q9" s="45"/>
      <c r="R9" s="45"/>
      <c r="S9" s="45"/>
      <c r="T9" s="45"/>
      <c r="U9" s="45"/>
      <c r="V9" s="45"/>
    </row>
    <row r="10" spans="1:22" s="44" customFormat="1">
      <c r="A10" s="42"/>
      <c r="B10" s="47" t="s">
        <v>583</v>
      </c>
      <c r="C10" s="48">
        <v>0.85499999999999998</v>
      </c>
      <c r="D10" s="49">
        <v>10860</v>
      </c>
      <c r="E10" s="47" t="s">
        <v>400</v>
      </c>
      <c r="F10" s="45"/>
      <c r="G10" s="47" t="s">
        <v>583</v>
      </c>
      <c r="H10" s="48">
        <v>0.85499999999999998</v>
      </c>
      <c r="I10" s="49">
        <v>10860</v>
      </c>
      <c r="J10" s="47" t="s">
        <v>400</v>
      </c>
      <c r="K10" s="52"/>
      <c r="L10" s="51"/>
      <c r="M10" s="51"/>
      <c r="N10" s="45"/>
      <c r="O10" s="45"/>
      <c r="P10" s="45"/>
      <c r="Q10" s="45"/>
      <c r="R10" s="45"/>
      <c r="S10" s="45"/>
      <c r="T10" s="45"/>
      <c r="U10" s="45"/>
      <c r="V10" s="45"/>
    </row>
    <row r="11" spans="1:22" s="44" customFormat="1">
      <c r="A11" s="42"/>
      <c r="B11" s="47" t="s">
        <v>417</v>
      </c>
      <c r="C11" s="48">
        <v>0.92700000000000005</v>
      </c>
      <c r="D11" s="49">
        <v>10500</v>
      </c>
      <c r="E11" s="47" t="s">
        <v>400</v>
      </c>
      <c r="F11" s="45"/>
      <c r="G11" s="47" t="s">
        <v>417</v>
      </c>
      <c r="H11" s="48">
        <v>0.92700000000000005</v>
      </c>
      <c r="I11" s="49">
        <v>10500</v>
      </c>
      <c r="J11" s="47" t="s">
        <v>400</v>
      </c>
      <c r="K11" s="52"/>
      <c r="L11" s="51"/>
      <c r="M11" s="51"/>
      <c r="N11" s="45"/>
      <c r="O11" s="45"/>
      <c r="P11" s="45"/>
      <c r="Q11" s="45"/>
      <c r="R11" s="45"/>
      <c r="S11" s="45"/>
      <c r="T11" s="45"/>
      <c r="U11" s="45"/>
      <c r="V11" s="45"/>
    </row>
    <row r="12" spans="1:22" s="44" customFormat="1">
      <c r="A12" s="42"/>
      <c r="B12" s="47" t="s">
        <v>584</v>
      </c>
      <c r="C12" s="48">
        <v>0.93600000000000005</v>
      </c>
      <c r="D12" s="49">
        <v>10500</v>
      </c>
      <c r="E12" s="47" t="s">
        <v>400</v>
      </c>
      <c r="F12" s="45"/>
      <c r="G12" s="47" t="s">
        <v>584</v>
      </c>
      <c r="H12" s="48">
        <v>0.93600000000000005</v>
      </c>
      <c r="I12" s="49">
        <v>10500</v>
      </c>
      <c r="J12" s="47" t="s">
        <v>400</v>
      </c>
      <c r="K12" s="50"/>
      <c r="L12" s="51"/>
      <c r="M12" s="51"/>
      <c r="N12" s="45"/>
      <c r="O12" s="45"/>
      <c r="P12" s="45"/>
      <c r="Q12" s="45"/>
      <c r="R12" s="45"/>
      <c r="S12" s="45"/>
      <c r="T12" s="45"/>
      <c r="U12" s="45"/>
      <c r="V12" s="45"/>
    </row>
    <row r="13" spans="1:22" s="44" customFormat="1">
      <c r="A13" s="42"/>
      <c r="B13" s="47" t="s">
        <v>420</v>
      </c>
      <c r="C13" s="48">
        <v>0.94499999999999995</v>
      </c>
      <c r="D13" s="49">
        <v>10500</v>
      </c>
      <c r="E13" s="47" t="s">
        <v>400</v>
      </c>
      <c r="F13" s="45"/>
      <c r="G13" s="47" t="s">
        <v>420</v>
      </c>
      <c r="H13" s="48">
        <v>0.94499999999999995</v>
      </c>
      <c r="I13" s="49">
        <v>10500</v>
      </c>
      <c r="J13" s="47" t="s">
        <v>400</v>
      </c>
      <c r="K13" s="50"/>
      <c r="L13" s="51"/>
      <c r="M13" s="51"/>
      <c r="N13" s="45"/>
      <c r="O13" s="45"/>
      <c r="P13" s="45"/>
      <c r="Q13" s="45"/>
      <c r="R13" s="45"/>
      <c r="S13" s="45"/>
      <c r="T13" s="45"/>
      <c r="U13" s="45"/>
      <c r="V13" s="45"/>
    </row>
    <row r="14" spans="1:22" s="44" customFormat="1">
      <c r="A14" s="42"/>
      <c r="B14" s="47" t="s">
        <v>101</v>
      </c>
      <c r="C14" s="48">
        <v>0.7</v>
      </c>
      <c r="D14" s="49">
        <v>11500</v>
      </c>
      <c r="E14" s="47" t="s">
        <v>400</v>
      </c>
      <c r="F14" s="45"/>
      <c r="G14" s="47" t="s">
        <v>101</v>
      </c>
      <c r="H14" s="48">
        <v>0.7</v>
      </c>
      <c r="I14" s="49">
        <v>11500</v>
      </c>
      <c r="J14" s="47" t="s">
        <v>400</v>
      </c>
      <c r="K14" s="50"/>
      <c r="L14" s="51"/>
      <c r="M14" s="51"/>
      <c r="N14" s="45"/>
      <c r="O14" s="45"/>
      <c r="P14" s="45"/>
      <c r="Q14" s="45"/>
      <c r="R14" s="45"/>
      <c r="S14" s="45"/>
      <c r="T14" s="45"/>
      <c r="U14" s="45"/>
      <c r="V14" s="45"/>
    </row>
    <row r="15" spans="1:22" s="44" customFormat="1">
      <c r="A15" s="42"/>
      <c r="B15" s="47" t="s">
        <v>407</v>
      </c>
      <c r="C15" s="48">
        <v>0.55000000000000004</v>
      </c>
      <c r="D15" s="49">
        <v>12100</v>
      </c>
      <c r="E15" s="47" t="s">
        <v>400</v>
      </c>
      <c r="F15" s="45"/>
      <c r="G15" s="47" t="s">
        <v>407</v>
      </c>
      <c r="H15" s="48">
        <v>0.55000000000000004</v>
      </c>
      <c r="I15" s="49">
        <v>12100</v>
      </c>
      <c r="J15" s="47" t="s">
        <v>400</v>
      </c>
      <c r="K15" s="50"/>
      <c r="L15" s="51"/>
      <c r="M15" s="51"/>
      <c r="N15" s="45"/>
      <c r="O15" s="45"/>
      <c r="P15" s="45"/>
      <c r="Q15" s="45"/>
      <c r="R15" s="45"/>
      <c r="S15" s="45"/>
      <c r="T15" s="45"/>
      <c r="U15" s="45"/>
      <c r="V15" s="45"/>
    </row>
    <row r="16" spans="1:22" s="44" customFormat="1">
      <c r="A16" s="42"/>
      <c r="B16" s="47" t="s">
        <v>395</v>
      </c>
      <c r="C16" s="48">
        <v>0.73</v>
      </c>
      <c r="D16" s="49">
        <v>11200</v>
      </c>
      <c r="E16" s="47" t="s">
        <v>400</v>
      </c>
      <c r="F16" s="45"/>
      <c r="G16" s="47" t="s">
        <v>395</v>
      </c>
      <c r="H16" s="48">
        <v>0.73</v>
      </c>
      <c r="I16" s="49">
        <v>11200</v>
      </c>
      <c r="J16" s="47" t="s">
        <v>400</v>
      </c>
      <c r="K16" s="45"/>
      <c r="L16" s="51"/>
      <c r="M16" s="51"/>
      <c r="N16" s="45"/>
      <c r="O16" s="45"/>
      <c r="P16" s="45"/>
      <c r="Q16" s="45"/>
      <c r="R16" s="45"/>
      <c r="S16" s="45"/>
      <c r="T16" s="45"/>
      <c r="U16" s="45"/>
      <c r="V16" s="45"/>
    </row>
    <row r="17" spans="1:22" s="44" customFormat="1">
      <c r="A17" s="42"/>
      <c r="B17" s="47" t="s">
        <v>585</v>
      </c>
      <c r="C17" s="48">
        <v>0.7</v>
      </c>
      <c r="D17" s="49">
        <v>11400</v>
      </c>
      <c r="E17" s="47" t="s">
        <v>400</v>
      </c>
      <c r="F17" s="45"/>
      <c r="G17" s="47" t="s">
        <v>585</v>
      </c>
      <c r="H17" s="48">
        <v>0.7</v>
      </c>
      <c r="I17" s="49">
        <v>11400</v>
      </c>
      <c r="J17" s="47" t="s">
        <v>400</v>
      </c>
      <c r="K17" s="45"/>
      <c r="L17" s="51"/>
      <c r="M17" s="51"/>
      <c r="N17" s="45"/>
      <c r="O17" s="45"/>
      <c r="P17" s="45"/>
      <c r="Q17" s="45"/>
      <c r="R17" s="45"/>
      <c r="S17" s="45"/>
      <c r="T17" s="45"/>
      <c r="U17" s="45"/>
      <c r="V17" s="45"/>
    </row>
    <row r="18" spans="1:22" s="44" customFormat="1">
      <c r="A18" s="42"/>
      <c r="B18" s="47" t="s">
        <v>586</v>
      </c>
      <c r="C18" s="48">
        <v>0.81</v>
      </c>
      <c r="D18" s="49">
        <v>11100</v>
      </c>
      <c r="E18" s="47" t="s">
        <v>400</v>
      </c>
      <c r="F18" s="45"/>
      <c r="G18" s="47" t="s">
        <v>586</v>
      </c>
      <c r="H18" s="48">
        <v>0.81</v>
      </c>
      <c r="I18" s="49">
        <v>11100</v>
      </c>
      <c r="J18" s="47" t="s">
        <v>400</v>
      </c>
      <c r="K18" s="45"/>
      <c r="L18" s="51"/>
      <c r="M18" s="51"/>
      <c r="N18" s="45"/>
      <c r="O18" s="45"/>
      <c r="P18" s="45"/>
      <c r="Q18" s="45"/>
      <c r="R18" s="45"/>
      <c r="S18" s="45"/>
      <c r="T18" s="45"/>
      <c r="U18" s="45"/>
      <c r="V18" s="45"/>
    </row>
    <row r="19" spans="1:22" s="44" customFormat="1">
      <c r="A19" s="42"/>
      <c r="B19" s="47" t="s">
        <v>116</v>
      </c>
      <c r="C19" s="48">
        <v>0.81</v>
      </c>
      <c r="D19" s="49">
        <v>11100</v>
      </c>
      <c r="E19" s="47" t="s">
        <v>400</v>
      </c>
      <c r="F19" s="45"/>
      <c r="G19" s="47" t="s">
        <v>116</v>
      </c>
      <c r="H19" s="48">
        <v>0.81</v>
      </c>
      <c r="I19" s="49">
        <v>11100</v>
      </c>
      <c r="J19" s="47" t="s">
        <v>400</v>
      </c>
      <c r="K19" s="45"/>
      <c r="L19" s="51"/>
      <c r="M19" s="51"/>
      <c r="N19" s="45"/>
      <c r="O19" s="45"/>
      <c r="P19" s="45"/>
      <c r="Q19" s="45"/>
      <c r="R19" s="45"/>
      <c r="S19" s="45"/>
      <c r="T19" s="45"/>
      <c r="U19" s="45"/>
      <c r="V19" s="45"/>
    </row>
    <row r="20" spans="1:22" s="44" customFormat="1">
      <c r="A20" s="42"/>
      <c r="B20" s="47" t="s">
        <v>415</v>
      </c>
      <c r="C20" s="48">
        <v>0.84</v>
      </c>
      <c r="D20" s="49">
        <v>10900</v>
      </c>
      <c r="E20" s="47" t="s">
        <v>400</v>
      </c>
      <c r="F20" s="45"/>
      <c r="G20" s="47" t="s">
        <v>415</v>
      </c>
      <c r="H20" s="48">
        <v>0.84</v>
      </c>
      <c r="I20" s="49">
        <v>10900</v>
      </c>
      <c r="J20" s="47" t="s">
        <v>400</v>
      </c>
      <c r="K20" s="45"/>
      <c r="L20" s="51"/>
      <c r="M20" s="51"/>
      <c r="N20" s="45"/>
      <c r="O20" s="45"/>
      <c r="P20" s="45"/>
      <c r="Q20" s="45"/>
      <c r="R20" s="45"/>
      <c r="S20" s="45"/>
      <c r="T20" s="45"/>
      <c r="U20" s="45"/>
      <c r="V20" s="45"/>
    </row>
    <row r="21" spans="1:22" s="44" customFormat="1">
      <c r="A21" s="42"/>
      <c r="B21" s="47" t="s">
        <v>402</v>
      </c>
      <c r="C21" s="47" t="s">
        <v>102</v>
      </c>
      <c r="D21" s="49">
        <v>9341</v>
      </c>
      <c r="E21" s="47" t="s">
        <v>479</v>
      </c>
      <c r="F21" s="45"/>
      <c r="G21" s="47" t="s">
        <v>402</v>
      </c>
      <c r="H21" s="47" t="s">
        <v>102</v>
      </c>
      <c r="I21" s="49">
        <v>9341</v>
      </c>
      <c r="J21" s="47" t="s">
        <v>479</v>
      </c>
      <c r="K21" s="45"/>
      <c r="L21" s="51"/>
      <c r="M21" s="51"/>
      <c r="N21" s="45"/>
      <c r="O21" s="45"/>
      <c r="P21" s="45"/>
      <c r="Q21" s="45"/>
      <c r="R21" s="45"/>
      <c r="S21" s="45"/>
      <c r="T21" s="45"/>
      <c r="U21" s="45"/>
      <c r="V21" s="45"/>
    </row>
    <row r="22" spans="1:22" s="44" customFormat="1">
      <c r="A22" s="42"/>
      <c r="B22" s="47" t="s">
        <v>587</v>
      </c>
      <c r="C22" s="47" t="s">
        <v>102</v>
      </c>
      <c r="D22" s="49">
        <v>3500</v>
      </c>
      <c r="E22" s="47" t="s">
        <v>400</v>
      </c>
      <c r="F22" s="45"/>
      <c r="G22" s="47" t="s">
        <v>588</v>
      </c>
      <c r="H22" s="47">
        <v>0.45</v>
      </c>
      <c r="I22" s="49">
        <v>9555</v>
      </c>
      <c r="J22" s="47" t="s">
        <v>479</v>
      </c>
      <c r="K22" s="45"/>
      <c r="L22" s="51"/>
      <c r="M22" s="51"/>
      <c r="N22" s="45"/>
      <c r="O22" s="45"/>
      <c r="P22" s="45"/>
      <c r="Q22" s="45"/>
      <c r="R22" s="45"/>
      <c r="S22" s="45"/>
      <c r="T22" s="45"/>
      <c r="U22" s="45"/>
      <c r="V22" s="45"/>
    </row>
    <row r="23" spans="1:22" s="44" customFormat="1">
      <c r="A23" s="42"/>
      <c r="B23" s="47" t="s">
        <v>388</v>
      </c>
      <c r="C23" s="47" t="s">
        <v>102</v>
      </c>
      <c r="D23" s="49">
        <v>7000</v>
      </c>
      <c r="E23" s="47" t="s">
        <v>400</v>
      </c>
      <c r="F23" s="45"/>
      <c r="G23" s="47" t="s">
        <v>587</v>
      </c>
      <c r="H23" s="47" t="s">
        <v>102</v>
      </c>
      <c r="I23" s="49">
        <v>3500</v>
      </c>
      <c r="J23" s="47" t="s">
        <v>400</v>
      </c>
      <c r="K23" s="45"/>
      <c r="L23" s="51"/>
      <c r="M23" s="51"/>
      <c r="N23" s="45"/>
      <c r="O23" s="45"/>
      <c r="P23" s="45"/>
      <c r="Q23" s="45"/>
      <c r="R23" s="45"/>
      <c r="S23" s="45"/>
      <c r="T23" s="45"/>
      <c r="U23" s="45"/>
      <c r="V23" s="45"/>
    </row>
    <row r="24" spans="1:22" s="44" customFormat="1">
      <c r="A24" s="42"/>
      <c r="B24" s="47" t="s">
        <v>589</v>
      </c>
      <c r="C24" s="47" t="s">
        <v>102</v>
      </c>
      <c r="D24" s="49">
        <v>7000</v>
      </c>
      <c r="E24" s="47" t="s">
        <v>400</v>
      </c>
      <c r="F24" s="45"/>
      <c r="G24" s="47" t="s">
        <v>590</v>
      </c>
      <c r="H24" s="47" t="s">
        <v>102</v>
      </c>
      <c r="I24" s="49">
        <v>2885</v>
      </c>
      <c r="J24" s="47" t="s">
        <v>400</v>
      </c>
      <c r="K24" s="45"/>
      <c r="L24" s="51"/>
      <c r="M24" s="51"/>
      <c r="N24" s="45"/>
      <c r="O24" s="45"/>
      <c r="P24" s="45"/>
      <c r="Q24" s="45"/>
      <c r="R24" s="45"/>
      <c r="S24" s="45"/>
      <c r="T24" s="45"/>
      <c r="U24" s="45"/>
      <c r="V24" s="45"/>
    </row>
    <row r="25" spans="1:22" s="44" customFormat="1">
      <c r="A25" s="42"/>
      <c r="B25" s="47" t="s">
        <v>412</v>
      </c>
      <c r="C25" s="47" t="s">
        <v>102</v>
      </c>
      <c r="D25" s="49">
        <v>8100</v>
      </c>
      <c r="E25" s="47" t="s">
        <v>400</v>
      </c>
      <c r="F25" s="45"/>
      <c r="G25" s="47" t="s">
        <v>388</v>
      </c>
      <c r="H25" s="47" t="s">
        <v>102</v>
      </c>
      <c r="I25" s="49">
        <v>7000</v>
      </c>
      <c r="J25" s="47" t="s">
        <v>400</v>
      </c>
      <c r="K25" s="45"/>
      <c r="L25" s="51"/>
      <c r="M25" s="51"/>
      <c r="N25" s="45"/>
      <c r="O25" s="45"/>
      <c r="P25" s="45"/>
      <c r="Q25" s="45"/>
      <c r="R25" s="45"/>
      <c r="S25" s="45"/>
      <c r="T25" s="45"/>
      <c r="U25" s="45"/>
      <c r="V25" s="45"/>
    </row>
    <row r="26" spans="1:22" s="44" customFormat="1">
      <c r="A26" s="42"/>
      <c r="B26" s="47" t="s">
        <v>591</v>
      </c>
      <c r="C26" s="47" t="s">
        <v>102</v>
      </c>
      <c r="D26" s="49">
        <v>5600</v>
      </c>
      <c r="E26" s="47" t="s">
        <v>479</v>
      </c>
      <c r="F26" s="45"/>
      <c r="G26" s="47" t="s">
        <v>589</v>
      </c>
      <c r="H26" s="47" t="s">
        <v>102</v>
      </c>
      <c r="I26" s="49">
        <v>7000</v>
      </c>
      <c r="J26" s="47" t="s">
        <v>400</v>
      </c>
      <c r="K26" s="45"/>
      <c r="L26" s="51"/>
      <c r="M26" s="51"/>
      <c r="N26" s="45"/>
      <c r="O26" s="45"/>
      <c r="P26" s="45"/>
      <c r="Q26" s="45"/>
      <c r="R26" s="45"/>
      <c r="S26" s="45"/>
      <c r="T26" s="45"/>
      <c r="U26" s="45"/>
      <c r="V26" s="45"/>
    </row>
    <row r="27" spans="1:22" s="44" customFormat="1">
      <c r="A27" s="42"/>
      <c r="B27" s="47" t="s">
        <v>405</v>
      </c>
      <c r="C27" s="47" t="s">
        <v>102</v>
      </c>
      <c r="D27" s="49">
        <v>4260</v>
      </c>
      <c r="E27" s="47" t="s">
        <v>479</v>
      </c>
      <c r="F27" s="45"/>
      <c r="G27" s="47" t="s">
        <v>412</v>
      </c>
      <c r="H27" s="47" t="s">
        <v>102</v>
      </c>
      <c r="I27" s="49">
        <v>8100</v>
      </c>
      <c r="J27" s="47" t="s">
        <v>400</v>
      </c>
      <c r="K27" s="45"/>
      <c r="L27" s="51"/>
      <c r="M27" s="51"/>
      <c r="N27" s="45"/>
      <c r="O27" s="45"/>
      <c r="P27" s="45"/>
      <c r="Q27" s="45"/>
      <c r="R27" s="45"/>
      <c r="S27" s="45"/>
      <c r="T27" s="45"/>
      <c r="U27" s="45"/>
      <c r="V27" s="45"/>
    </row>
    <row r="28" spans="1:22" s="44" customFormat="1">
      <c r="A28" s="42"/>
      <c r="B28" s="47" t="s">
        <v>592</v>
      </c>
      <c r="C28" s="47" t="s">
        <v>102</v>
      </c>
      <c r="D28" s="49">
        <v>860</v>
      </c>
      <c r="E28" s="47" t="s">
        <v>593</v>
      </c>
      <c r="F28" s="45"/>
      <c r="G28" s="47" t="s">
        <v>591</v>
      </c>
      <c r="H28" s="47" t="s">
        <v>102</v>
      </c>
      <c r="I28" s="49">
        <v>5600</v>
      </c>
      <c r="J28" s="47" t="s">
        <v>479</v>
      </c>
      <c r="K28" s="45"/>
      <c r="L28" s="51"/>
      <c r="M28" s="51"/>
      <c r="N28" s="45"/>
      <c r="O28" s="45"/>
      <c r="P28" s="45"/>
      <c r="Q28" s="45"/>
      <c r="R28" s="45"/>
      <c r="S28" s="45"/>
      <c r="T28" s="45"/>
      <c r="U28" s="45"/>
      <c r="V28" s="45"/>
    </row>
    <row r="29" spans="1:22" s="44" customFormat="1">
      <c r="A29" s="42"/>
      <c r="B29" s="53"/>
      <c r="C29" s="54"/>
      <c r="D29" s="55"/>
      <c r="E29" s="42"/>
      <c r="F29" s="45"/>
      <c r="G29" s="47" t="s">
        <v>405</v>
      </c>
      <c r="H29" s="47" t="s">
        <v>102</v>
      </c>
      <c r="I29" s="49">
        <v>4260</v>
      </c>
      <c r="J29" s="47" t="s">
        <v>479</v>
      </c>
      <c r="K29" s="45"/>
      <c r="L29" s="51"/>
      <c r="M29" s="51"/>
      <c r="N29" s="45"/>
      <c r="O29" s="45"/>
      <c r="P29" s="45"/>
      <c r="Q29" s="45"/>
      <c r="R29" s="45"/>
      <c r="S29" s="45"/>
      <c r="T29" s="45"/>
      <c r="U29" s="45"/>
      <c r="V29" s="45"/>
    </row>
    <row r="30" spans="1:22" s="44" customFormat="1">
      <c r="A30" s="42"/>
      <c r="B30" s="56" t="s">
        <v>594</v>
      </c>
      <c r="C30" s="54"/>
      <c r="D30" s="55"/>
      <c r="E30" s="42"/>
      <c r="F30" s="45"/>
      <c r="G30" s="47" t="s">
        <v>592</v>
      </c>
      <c r="H30" s="47" t="s">
        <v>102</v>
      </c>
      <c r="I30" s="49">
        <v>860</v>
      </c>
      <c r="J30" s="47" t="s">
        <v>593</v>
      </c>
      <c r="K30" s="45"/>
      <c r="L30" s="51"/>
      <c r="M30" s="51"/>
      <c r="N30" s="45"/>
      <c r="O30" s="45"/>
      <c r="P30" s="45"/>
      <c r="Q30" s="45"/>
      <c r="R30" s="45"/>
      <c r="S30" s="45"/>
      <c r="T30" s="45"/>
      <c r="U30" s="45"/>
      <c r="V30" s="45"/>
    </row>
    <row r="31" spans="1:22" s="44" customFormat="1">
      <c r="A31" s="42"/>
      <c r="B31" s="56" t="s">
        <v>595</v>
      </c>
      <c r="C31" s="53"/>
      <c r="D31" s="53"/>
      <c r="E31" s="42"/>
      <c r="F31" s="45"/>
      <c r="G31" s="56" t="s">
        <v>594</v>
      </c>
      <c r="H31" s="47"/>
      <c r="I31" s="49"/>
      <c r="J31" s="57"/>
      <c r="K31" s="45"/>
      <c r="L31" s="51"/>
      <c r="M31" s="51"/>
      <c r="N31" s="45"/>
      <c r="O31" s="45"/>
      <c r="P31" s="45"/>
      <c r="Q31" s="45"/>
      <c r="R31" s="45"/>
      <c r="S31" s="45"/>
      <c r="T31" s="45"/>
      <c r="U31" s="45"/>
      <c r="V31" s="45"/>
    </row>
    <row r="32" spans="1:22" s="44" customFormat="1">
      <c r="A32" s="42"/>
      <c r="B32" s="56" t="s">
        <v>596</v>
      </c>
      <c r="C32" s="53"/>
      <c r="D32" s="53"/>
      <c r="E32" s="42"/>
      <c r="F32" s="45"/>
      <c r="G32" s="56" t="s">
        <v>595</v>
      </c>
      <c r="H32" s="47"/>
      <c r="I32" s="49"/>
      <c r="J32" s="57"/>
      <c r="K32" s="45"/>
      <c r="L32" s="51"/>
      <c r="M32" s="51"/>
      <c r="N32" s="45"/>
      <c r="O32" s="45"/>
      <c r="P32" s="45"/>
      <c r="Q32" s="45"/>
      <c r="R32" s="45"/>
      <c r="S32" s="45"/>
      <c r="T32" s="45"/>
      <c r="U32" s="45"/>
      <c r="V32" s="45"/>
    </row>
    <row r="33" spans="1:22" s="44" customFormat="1">
      <c r="A33" s="42"/>
      <c r="B33" s="56" t="s">
        <v>597</v>
      </c>
      <c r="C33" s="53"/>
      <c r="D33" s="53"/>
      <c r="E33" s="42"/>
      <c r="F33" s="45"/>
      <c r="G33" s="56" t="s">
        <v>596</v>
      </c>
      <c r="H33" s="54"/>
      <c r="I33" s="55"/>
      <c r="J33" s="42"/>
      <c r="K33" s="45"/>
      <c r="L33" s="51"/>
      <c r="M33" s="51"/>
      <c r="N33" s="45"/>
      <c r="O33" s="45"/>
      <c r="P33" s="45"/>
      <c r="Q33" s="45"/>
      <c r="R33" s="45"/>
      <c r="S33" s="45"/>
      <c r="T33" s="45"/>
      <c r="U33" s="45"/>
      <c r="V33" s="45"/>
    </row>
    <row r="34" spans="1:22">
      <c r="A34" s="58"/>
      <c r="B34" s="56" t="s">
        <v>598</v>
      </c>
      <c r="C34" s="59"/>
      <c r="D34" s="59"/>
      <c r="E34" s="58"/>
      <c r="G34" s="56" t="s">
        <v>597</v>
      </c>
      <c r="H34" s="54"/>
      <c r="I34" s="55"/>
      <c r="J34" s="42"/>
      <c r="L34" s="51"/>
      <c r="M34" s="51"/>
    </row>
    <row r="35" spans="1:22">
      <c r="B35" s="60"/>
      <c r="C35" s="60"/>
      <c r="D35" s="60"/>
      <c r="G35" s="56" t="s">
        <v>599</v>
      </c>
      <c r="H35" s="53"/>
      <c r="I35" s="53"/>
      <c r="J35" s="42"/>
    </row>
    <row r="36" spans="1:22">
      <c r="B36" s="60"/>
      <c r="C36" s="60"/>
      <c r="D36" s="60"/>
      <c r="G36" s="41"/>
      <c r="H36" s="53"/>
      <c r="I36" s="53"/>
      <c r="J36" s="42"/>
    </row>
    <row r="37" spans="1:22">
      <c r="B37" s="60"/>
      <c r="C37" s="60"/>
      <c r="D37" s="60"/>
      <c r="G37" s="41"/>
      <c r="H37" s="53"/>
      <c r="I37" s="53"/>
      <c r="J37" s="42"/>
    </row>
    <row r="38" spans="1:22">
      <c r="B38" s="40"/>
      <c r="C38" s="40"/>
      <c r="D38" s="40"/>
      <c r="G38" s="41"/>
      <c r="H38" s="59"/>
      <c r="I38" s="59"/>
      <c r="J38" s="58"/>
    </row>
    <row r="39" spans="1:22">
      <c r="B39" s="40"/>
      <c r="C39" s="40"/>
      <c r="D39" s="40"/>
      <c r="G39" s="60"/>
      <c r="H39" s="60"/>
      <c r="I39" s="60"/>
    </row>
    <row r="40" spans="1:22">
      <c r="B40" s="40"/>
      <c r="C40" s="40"/>
      <c r="D40" s="40"/>
    </row>
    <row r="41" spans="1:22">
      <c r="B41" s="40"/>
      <c r="C41" s="40"/>
      <c r="D41" s="40"/>
    </row>
    <row r="42" spans="1:22">
      <c r="B42" s="40"/>
      <c r="C42" s="40"/>
      <c r="D42" s="40"/>
    </row>
    <row r="43" spans="1:22">
      <c r="B43" s="40"/>
      <c r="C43" s="40"/>
      <c r="D43" s="40"/>
    </row>
    <row r="44" spans="1:22">
      <c r="B44" s="40"/>
      <c r="C44" s="40"/>
      <c r="D44" s="40"/>
    </row>
    <row r="45" spans="1:22">
      <c r="B45" s="40"/>
      <c r="C45" s="40"/>
      <c r="D45" s="40"/>
    </row>
    <row r="46" spans="1:22">
      <c r="B46" s="40"/>
      <c r="C46" s="40"/>
      <c r="D46" s="40"/>
    </row>
    <row r="47" spans="1:22">
      <c r="B47" s="40"/>
      <c r="C47" s="40"/>
      <c r="D47" s="40"/>
    </row>
    <row r="48" spans="1:22">
      <c r="B48" s="40"/>
      <c r="C48" s="40"/>
      <c r="D48" s="40"/>
    </row>
    <row r="49" spans="2:4" s="41" customFormat="1">
      <c r="B49" s="40"/>
      <c r="C49" s="40"/>
      <c r="D49" s="40"/>
    </row>
    <row r="50" spans="2:4" s="41" customFormat="1">
      <c r="B50" s="40"/>
      <c r="C50" s="40"/>
      <c r="D50" s="40"/>
    </row>
    <row r="51" spans="2:4" s="41" customFormat="1">
      <c r="B51" s="40"/>
      <c r="C51" s="40"/>
      <c r="D51" s="40"/>
    </row>
    <row r="52" spans="2:4" s="41" customFormat="1">
      <c r="B52" s="40"/>
      <c r="C52" s="40"/>
      <c r="D52" s="40"/>
    </row>
    <row r="53" spans="2:4" s="41" customFormat="1">
      <c r="B53" s="40"/>
      <c r="C53" s="40"/>
      <c r="D53" s="40"/>
    </row>
    <row r="54" spans="2:4" s="41" customFormat="1">
      <c r="B54" s="40"/>
      <c r="C54" s="40"/>
      <c r="D54" s="40"/>
    </row>
    <row r="55" spans="2:4" s="41" customFormat="1">
      <c r="B55" s="40"/>
      <c r="C55" s="40"/>
      <c r="D55" s="40"/>
    </row>
    <row r="56" spans="2:4" s="41" customFormat="1">
      <c r="B56" s="40"/>
      <c r="C56" s="40"/>
      <c r="D56" s="40"/>
    </row>
    <row r="57" spans="2:4" s="41" customFormat="1">
      <c r="B57" s="40"/>
      <c r="C57" s="40"/>
      <c r="D57" s="40"/>
    </row>
    <row r="58" spans="2:4" s="41" customFormat="1">
      <c r="B58" s="40"/>
      <c r="C58" s="40"/>
      <c r="D58" s="40"/>
    </row>
    <row r="59" spans="2:4" s="41" customFormat="1">
      <c r="B59" s="40"/>
      <c r="C59" s="40"/>
      <c r="D59" s="40"/>
    </row>
    <row r="60" spans="2:4" s="41" customFormat="1">
      <c r="B60" s="40"/>
      <c r="C60" s="40"/>
      <c r="D60" s="40"/>
    </row>
    <row r="61" spans="2:4" s="41" customFormat="1">
      <c r="B61" s="40"/>
      <c r="C61" s="40"/>
      <c r="D61" s="40"/>
    </row>
    <row r="62" spans="2:4" s="41" customFormat="1">
      <c r="B62" s="40"/>
      <c r="C62" s="40"/>
      <c r="D62" s="40"/>
    </row>
    <row r="63" spans="2:4" s="41" customFormat="1">
      <c r="B63" s="40"/>
      <c r="C63" s="40"/>
      <c r="D63" s="40"/>
    </row>
    <row r="64" spans="2:4" s="41" customFormat="1">
      <c r="B64" s="40"/>
      <c r="C64" s="40"/>
      <c r="D64" s="40"/>
    </row>
    <row r="65" s="40" customFormat="1"/>
    <row r="66" s="40" customFormat="1"/>
    <row r="67" s="40" customFormat="1"/>
    <row r="68" s="40" customFormat="1"/>
    <row r="69" s="40" customFormat="1"/>
  </sheetData>
  <sheetProtection algorithmName="SHA-512" hashValue="yb5g7U7a3/jKU+mqAXs9iKbRe9f6Z6tK/KhVbbakBr13aWGGoMas3rP9Ygs3AKNbeAJI9fOz+QIGv6Leb2D5OA==" saltValue="iQJCEK0sUf7P7UQ4eN/s2A==" spinCount="100000" sheet="1" objects="1" scenarios="1" autoFilter="0"/>
  <mergeCells count="10">
    <mergeCell ref="B6:E6"/>
    <mergeCell ref="G6:J6"/>
    <mergeCell ref="B7:B8"/>
    <mergeCell ref="C7:C8"/>
    <mergeCell ref="D7:D8"/>
    <mergeCell ref="E7:E8"/>
    <mergeCell ref="G7:G8"/>
    <mergeCell ref="H7:H8"/>
    <mergeCell ref="I7:I8"/>
    <mergeCell ref="J7:J8"/>
  </mergeCells>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K20"/>
  <sheetViews>
    <sheetView workbookViewId="0"/>
  </sheetViews>
  <sheetFormatPr baseColWidth="10" defaultColWidth="9.109375" defaultRowHeight="14.4"/>
  <cols>
    <col min="2" max="2" width="15.5546875" customWidth="1"/>
    <col min="3" max="11" width="14.33203125" customWidth="1"/>
  </cols>
  <sheetData>
    <row r="2" spans="2:11" ht="54.75" customHeight="1">
      <c r="B2" s="520" t="s">
        <v>600</v>
      </c>
      <c r="C2" s="520"/>
      <c r="D2" s="520"/>
      <c r="E2" s="520"/>
      <c r="F2" s="520"/>
      <c r="G2" s="520"/>
      <c r="H2" s="520"/>
      <c r="I2" s="520"/>
      <c r="J2" s="520"/>
      <c r="K2" s="520"/>
    </row>
    <row r="3" spans="2:11">
      <c r="B3" s="79"/>
      <c r="C3" s="521" t="s">
        <v>377</v>
      </c>
      <c r="D3" s="521"/>
      <c r="E3" s="521"/>
      <c r="F3" s="521" t="s">
        <v>601</v>
      </c>
      <c r="G3" s="521"/>
      <c r="H3" s="521"/>
      <c r="I3" s="521" t="s">
        <v>602</v>
      </c>
      <c r="J3" s="521"/>
      <c r="K3" s="521"/>
    </row>
    <row r="4" spans="2:11">
      <c r="B4" s="79" t="s">
        <v>603</v>
      </c>
      <c r="C4" s="79" t="s">
        <v>604</v>
      </c>
      <c r="D4" s="79" t="s">
        <v>605</v>
      </c>
      <c r="E4" s="79" t="s">
        <v>606</v>
      </c>
      <c r="F4" s="79" t="s">
        <v>604</v>
      </c>
      <c r="G4" s="79" t="s">
        <v>605</v>
      </c>
      <c r="H4" s="79" t="s">
        <v>606</v>
      </c>
      <c r="I4" s="79" t="s">
        <v>604</v>
      </c>
      <c r="J4" s="79" t="s">
        <v>605</v>
      </c>
      <c r="K4" s="79" t="s">
        <v>606</v>
      </c>
    </row>
    <row r="5" spans="2:11">
      <c r="B5" s="521" t="s">
        <v>607</v>
      </c>
      <c r="C5" s="521"/>
      <c r="D5" s="521"/>
      <c r="E5" s="521"/>
      <c r="F5" s="521"/>
      <c r="G5" s="521"/>
      <c r="H5" s="521"/>
      <c r="I5" s="521"/>
      <c r="J5" s="521"/>
      <c r="K5" s="521"/>
    </row>
    <row r="6" spans="2:11">
      <c r="B6" s="79" t="s">
        <v>608</v>
      </c>
      <c r="C6" s="107">
        <v>74100</v>
      </c>
      <c r="D6" s="107">
        <v>72600</v>
      </c>
      <c r="E6" s="107">
        <v>74800</v>
      </c>
      <c r="F6" s="79">
        <v>4.1500000000000004</v>
      </c>
      <c r="G6" s="79">
        <v>1.67</v>
      </c>
      <c r="H6" s="79">
        <v>10.4</v>
      </c>
      <c r="I6" s="79">
        <v>28.6</v>
      </c>
      <c r="J6" s="79">
        <v>14.3</v>
      </c>
      <c r="K6" s="79">
        <v>85.8</v>
      </c>
    </row>
    <row r="7" spans="2:11">
      <c r="B7" s="79" t="s">
        <v>609</v>
      </c>
      <c r="C7" s="107">
        <v>74100</v>
      </c>
      <c r="D7" s="107">
        <v>72600</v>
      </c>
      <c r="E7" s="107">
        <v>74800</v>
      </c>
      <c r="F7" s="79">
        <v>4.1500000000000004</v>
      </c>
      <c r="G7" s="79">
        <v>1.67</v>
      </c>
      <c r="H7" s="79">
        <v>10.4</v>
      </c>
      <c r="I7" s="79">
        <v>28.6</v>
      </c>
      <c r="J7" s="79">
        <v>14.3</v>
      </c>
      <c r="K7" s="79">
        <v>85.8</v>
      </c>
    </row>
    <row r="8" spans="2:11">
      <c r="B8" s="92" t="s">
        <v>610</v>
      </c>
      <c r="C8" s="119">
        <v>74100</v>
      </c>
      <c r="D8" s="107">
        <v>72600</v>
      </c>
      <c r="E8" s="107">
        <v>74800</v>
      </c>
      <c r="F8" s="92">
        <v>4.1500000000000004</v>
      </c>
      <c r="G8" s="79">
        <v>1.67</v>
      </c>
      <c r="H8" s="79">
        <v>10.4</v>
      </c>
      <c r="I8" s="92">
        <v>28.6</v>
      </c>
      <c r="J8" s="79">
        <v>14.3</v>
      </c>
      <c r="K8" s="79">
        <v>85.8</v>
      </c>
    </row>
    <row r="9" spans="2:11">
      <c r="B9" s="79" t="s">
        <v>611</v>
      </c>
      <c r="C9" s="107">
        <v>74100</v>
      </c>
      <c r="D9" s="107">
        <v>72600</v>
      </c>
      <c r="E9" s="107">
        <v>74800</v>
      </c>
      <c r="F9" s="79">
        <v>4.1500000000000004</v>
      </c>
      <c r="G9" s="79">
        <v>1.67</v>
      </c>
      <c r="H9" s="79">
        <v>10.4</v>
      </c>
      <c r="I9" s="79">
        <v>28.6</v>
      </c>
      <c r="J9" s="79">
        <v>14.3</v>
      </c>
      <c r="K9" s="79">
        <v>85.8</v>
      </c>
    </row>
    <row r="10" spans="2:11">
      <c r="B10" s="521" t="s">
        <v>612</v>
      </c>
      <c r="C10" s="521"/>
      <c r="D10" s="521"/>
      <c r="E10" s="521"/>
      <c r="F10" s="521"/>
      <c r="G10" s="521"/>
      <c r="H10" s="521"/>
      <c r="I10" s="521"/>
      <c r="J10" s="521"/>
      <c r="K10" s="521"/>
    </row>
    <row r="11" spans="2:11">
      <c r="B11" s="79" t="s">
        <v>608</v>
      </c>
      <c r="C11" s="107">
        <v>69300</v>
      </c>
      <c r="D11" s="107">
        <v>67500</v>
      </c>
      <c r="E11" s="107">
        <v>73000</v>
      </c>
      <c r="F11" s="79">
        <v>80</v>
      </c>
      <c r="G11" s="79">
        <v>32</v>
      </c>
      <c r="H11" s="79">
        <v>200</v>
      </c>
      <c r="I11" s="79">
        <v>2</v>
      </c>
      <c r="J11" s="79">
        <v>1</v>
      </c>
      <c r="K11" s="79">
        <v>6</v>
      </c>
    </row>
    <row r="12" spans="2:11">
      <c r="B12" s="79" t="s">
        <v>609</v>
      </c>
      <c r="C12" s="107">
        <v>69300</v>
      </c>
      <c r="D12" s="107">
        <v>67500</v>
      </c>
      <c r="E12" s="107">
        <v>73000</v>
      </c>
      <c r="F12" s="79"/>
      <c r="G12" s="79"/>
      <c r="H12" s="79"/>
      <c r="I12" s="79"/>
      <c r="J12" s="79"/>
      <c r="K12" s="79"/>
    </row>
    <row r="13" spans="2:11">
      <c r="B13" s="92" t="s">
        <v>610</v>
      </c>
      <c r="C13" s="119">
        <v>69300</v>
      </c>
      <c r="D13" s="107">
        <v>67500</v>
      </c>
      <c r="E13" s="107">
        <v>73000</v>
      </c>
      <c r="F13" s="92">
        <v>50</v>
      </c>
      <c r="G13" s="79">
        <v>20</v>
      </c>
      <c r="H13" s="79">
        <v>125</v>
      </c>
      <c r="I13" s="92">
        <v>2</v>
      </c>
      <c r="J13" s="79">
        <v>1</v>
      </c>
      <c r="K13" s="79">
        <v>6</v>
      </c>
    </row>
    <row r="14" spans="2:11">
      <c r="B14" s="79" t="s">
        <v>611</v>
      </c>
      <c r="C14" s="107">
        <v>69300</v>
      </c>
      <c r="D14" s="107">
        <v>67500</v>
      </c>
      <c r="E14" s="107">
        <v>73000</v>
      </c>
      <c r="F14" s="79">
        <v>120</v>
      </c>
      <c r="G14" s="79">
        <v>48</v>
      </c>
      <c r="H14" s="79">
        <v>300</v>
      </c>
      <c r="I14" s="79">
        <v>2</v>
      </c>
      <c r="J14" s="79">
        <v>1</v>
      </c>
      <c r="K14" s="79">
        <v>6</v>
      </c>
    </row>
    <row r="15" spans="2:11">
      <c r="B15" s="521" t="s">
        <v>613</v>
      </c>
      <c r="C15" s="521"/>
      <c r="D15" s="521"/>
      <c r="E15" s="521"/>
      <c r="F15" s="521"/>
      <c r="G15" s="521"/>
      <c r="H15" s="521"/>
      <c r="I15" s="521"/>
      <c r="J15" s="521"/>
      <c r="K15" s="521"/>
    </row>
    <row r="16" spans="2:11">
      <c r="B16" s="79" t="s">
        <v>608</v>
      </c>
      <c r="C16" s="107">
        <v>69300</v>
      </c>
      <c r="D16" s="107">
        <v>67500</v>
      </c>
      <c r="E16" s="107">
        <v>73000</v>
      </c>
      <c r="F16" s="79">
        <v>140</v>
      </c>
      <c r="G16" s="79">
        <v>56</v>
      </c>
      <c r="H16" s="79">
        <v>350</v>
      </c>
      <c r="I16" s="79">
        <v>0.4</v>
      </c>
      <c r="J16" s="79">
        <v>0.2</v>
      </c>
      <c r="K16" s="79">
        <v>1.2</v>
      </c>
    </row>
    <row r="17" spans="2:11">
      <c r="B17" s="79" t="s">
        <v>609</v>
      </c>
      <c r="C17" s="107">
        <v>69300</v>
      </c>
      <c r="D17" s="107">
        <v>67500</v>
      </c>
      <c r="E17" s="107">
        <v>73000</v>
      </c>
      <c r="F17" s="79">
        <v>170</v>
      </c>
      <c r="G17" s="79">
        <v>68</v>
      </c>
      <c r="H17" s="79">
        <v>425</v>
      </c>
      <c r="I17" s="79">
        <v>0.4</v>
      </c>
      <c r="J17" s="79">
        <v>0.2</v>
      </c>
      <c r="K17" s="79">
        <v>1.2</v>
      </c>
    </row>
    <row r="18" spans="2:11">
      <c r="B18" s="92" t="s">
        <v>610</v>
      </c>
      <c r="C18" s="119">
        <v>69300</v>
      </c>
      <c r="D18" s="107">
        <v>67500</v>
      </c>
      <c r="E18" s="107">
        <v>73000</v>
      </c>
      <c r="F18" s="92">
        <v>130</v>
      </c>
      <c r="G18" s="79">
        <v>52</v>
      </c>
      <c r="H18" s="79">
        <v>325</v>
      </c>
      <c r="I18" s="92">
        <v>0.4</v>
      </c>
      <c r="J18" s="79">
        <v>0.2</v>
      </c>
      <c r="K18" s="79">
        <v>1.2</v>
      </c>
    </row>
    <row r="19" spans="2:11">
      <c r="B19" s="79" t="s">
        <v>611</v>
      </c>
      <c r="C19" s="107">
        <v>69300</v>
      </c>
      <c r="D19" s="107">
        <v>67500</v>
      </c>
      <c r="E19" s="107">
        <v>73000</v>
      </c>
      <c r="F19" s="79">
        <v>180</v>
      </c>
      <c r="G19" s="79">
        <v>72</v>
      </c>
      <c r="H19" s="79">
        <v>450</v>
      </c>
      <c r="I19" s="79">
        <v>0.4</v>
      </c>
      <c r="J19" s="79">
        <v>0.2</v>
      </c>
      <c r="K19" s="79">
        <v>1.2</v>
      </c>
    </row>
    <row r="20" spans="2:11" ht="135.75" customHeight="1">
      <c r="B20" s="520" t="s">
        <v>614</v>
      </c>
      <c r="C20" s="520"/>
      <c r="D20" s="520"/>
      <c r="E20" s="520"/>
      <c r="F20" s="520"/>
      <c r="G20" s="520"/>
      <c r="H20" s="520"/>
      <c r="I20" s="520"/>
      <c r="J20" s="520"/>
      <c r="K20" s="520"/>
    </row>
  </sheetData>
  <mergeCells count="8">
    <mergeCell ref="B2:K2"/>
    <mergeCell ref="B20:K20"/>
    <mergeCell ref="C3:E3"/>
    <mergeCell ref="F3:H3"/>
    <mergeCell ref="I3:K3"/>
    <mergeCell ref="B5:K5"/>
    <mergeCell ref="B10:K10"/>
    <mergeCell ref="B15:K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H8"/>
  <sheetViews>
    <sheetView workbookViewId="0"/>
  </sheetViews>
  <sheetFormatPr baseColWidth="10" defaultColWidth="9.109375" defaultRowHeight="14.4"/>
  <sheetData>
    <row r="2" spans="2:8" ht="46.5" customHeight="1">
      <c r="B2" s="520" t="s">
        <v>615</v>
      </c>
      <c r="C2" s="520"/>
      <c r="D2" s="520"/>
      <c r="E2" s="520"/>
      <c r="F2" s="520"/>
      <c r="G2" s="520"/>
      <c r="H2" s="520"/>
    </row>
    <row r="3" spans="2:8">
      <c r="B3" s="79" t="s">
        <v>616</v>
      </c>
      <c r="C3" s="79" t="s">
        <v>617</v>
      </c>
      <c r="D3" s="79"/>
      <c r="E3" s="79"/>
      <c r="F3" s="79" t="s">
        <v>618</v>
      </c>
      <c r="G3" s="79"/>
      <c r="H3" s="79"/>
    </row>
    <row r="4" spans="2:8">
      <c r="B4" s="79"/>
      <c r="C4" s="79" t="s">
        <v>619</v>
      </c>
      <c r="D4" s="79" t="s">
        <v>605</v>
      </c>
      <c r="E4" s="79" t="s">
        <v>606</v>
      </c>
      <c r="F4" s="79" t="s">
        <v>619</v>
      </c>
      <c r="G4" s="79" t="s">
        <v>605</v>
      </c>
      <c r="H4" s="79" t="s">
        <v>606</v>
      </c>
    </row>
    <row r="5" spans="2:8">
      <c r="B5" s="79" t="s">
        <v>377</v>
      </c>
      <c r="C5" s="107">
        <v>74100</v>
      </c>
      <c r="D5" s="107">
        <v>72600</v>
      </c>
      <c r="E5" s="107">
        <v>74800</v>
      </c>
      <c r="F5" s="107">
        <v>96100</v>
      </c>
      <c r="G5" s="107">
        <v>72800</v>
      </c>
      <c r="H5" s="107">
        <v>100000</v>
      </c>
    </row>
    <row r="6" spans="2:8">
      <c r="B6" s="79" t="s">
        <v>620</v>
      </c>
      <c r="C6" s="79">
        <v>4.1500000000000004</v>
      </c>
      <c r="D6" s="79">
        <v>1.67</v>
      </c>
      <c r="E6" s="79">
        <v>10.4</v>
      </c>
      <c r="F6" s="79">
        <v>2</v>
      </c>
      <c r="G6" s="79">
        <v>0.6</v>
      </c>
      <c r="H6" s="79">
        <v>6</v>
      </c>
    </row>
    <row r="7" spans="2:8">
      <c r="B7" s="79" t="s">
        <v>621</v>
      </c>
      <c r="C7" s="79">
        <v>28.6</v>
      </c>
      <c r="D7" s="79">
        <v>14.3</v>
      </c>
      <c r="E7" s="79">
        <v>85.8</v>
      </c>
      <c r="F7" s="79">
        <v>1.5</v>
      </c>
      <c r="G7" s="79">
        <v>0.5</v>
      </c>
      <c r="H7" s="79">
        <v>5</v>
      </c>
    </row>
    <row r="8" spans="2:8" ht="111.75" customHeight="1">
      <c r="B8" s="520" t="s">
        <v>622</v>
      </c>
      <c r="C8" s="520"/>
      <c r="D8" s="520"/>
      <c r="E8" s="520"/>
      <c r="F8" s="520"/>
      <c r="G8" s="520"/>
      <c r="H8" s="520"/>
    </row>
  </sheetData>
  <mergeCells count="2">
    <mergeCell ref="B2:H2"/>
    <mergeCell ref="B8:H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F14"/>
  <sheetViews>
    <sheetView workbookViewId="0"/>
  </sheetViews>
  <sheetFormatPr baseColWidth="10" defaultColWidth="9.109375" defaultRowHeight="14.4"/>
  <cols>
    <col min="2" max="2" width="5.33203125" customWidth="1"/>
    <col min="3" max="3" width="26" customWidth="1"/>
  </cols>
  <sheetData>
    <row r="2" spans="2:6" ht="43.5" customHeight="1">
      <c r="B2" s="520" t="s">
        <v>623</v>
      </c>
      <c r="C2" s="520"/>
      <c r="D2" s="520"/>
      <c r="E2" s="520"/>
      <c r="F2" s="520"/>
    </row>
    <row r="3" spans="2:6">
      <c r="B3" s="607" t="s">
        <v>624</v>
      </c>
      <c r="C3" s="608"/>
      <c r="D3" s="608"/>
      <c r="E3" s="608"/>
      <c r="F3" s="609"/>
    </row>
    <row r="4" spans="2:6">
      <c r="B4" s="607" t="s">
        <v>625</v>
      </c>
      <c r="C4" s="608"/>
      <c r="D4" s="79" t="s">
        <v>619</v>
      </c>
      <c r="E4" s="79" t="s">
        <v>605</v>
      </c>
      <c r="F4" s="79" t="s">
        <v>606</v>
      </c>
    </row>
    <row r="5" spans="2:6">
      <c r="B5" s="602" t="s">
        <v>626</v>
      </c>
      <c r="C5" s="603"/>
      <c r="D5" s="107">
        <v>69300</v>
      </c>
      <c r="E5" s="107">
        <v>67500</v>
      </c>
      <c r="F5" s="107">
        <v>73000</v>
      </c>
    </row>
    <row r="6" spans="2:6">
      <c r="B6" s="602" t="s">
        <v>411</v>
      </c>
      <c r="C6" s="603"/>
      <c r="D6" s="107">
        <v>71900</v>
      </c>
      <c r="E6" s="107">
        <v>70800</v>
      </c>
      <c r="F6" s="107">
        <v>73600</v>
      </c>
    </row>
    <row r="7" spans="2:6">
      <c r="B7" s="602" t="s">
        <v>416</v>
      </c>
      <c r="C7" s="603"/>
      <c r="D7" s="107">
        <v>74100</v>
      </c>
      <c r="E7" s="107">
        <v>72600</v>
      </c>
      <c r="F7" s="107">
        <v>74800</v>
      </c>
    </row>
    <row r="8" spans="2:6">
      <c r="B8" s="602" t="s">
        <v>419</v>
      </c>
      <c r="C8" s="603"/>
      <c r="D8" s="107">
        <v>77400</v>
      </c>
      <c r="E8" s="107">
        <v>75500</v>
      </c>
      <c r="F8" s="107">
        <v>78800</v>
      </c>
    </row>
    <row r="9" spans="2:6">
      <c r="B9" s="602" t="s">
        <v>409</v>
      </c>
      <c r="C9" s="603"/>
      <c r="D9" s="107">
        <v>63100</v>
      </c>
      <c r="E9" s="107">
        <v>61600</v>
      </c>
      <c r="F9" s="107">
        <v>65600</v>
      </c>
    </row>
    <row r="10" spans="2:6">
      <c r="B10" s="604" t="s">
        <v>627</v>
      </c>
      <c r="C10" s="80" t="s">
        <v>406</v>
      </c>
      <c r="D10" s="107">
        <v>57600</v>
      </c>
      <c r="E10" s="107">
        <v>48200</v>
      </c>
      <c r="F10" s="107">
        <v>69000</v>
      </c>
    </row>
    <row r="11" spans="2:6">
      <c r="B11" s="605"/>
      <c r="C11" s="80" t="s">
        <v>628</v>
      </c>
      <c r="D11" s="107">
        <v>73300</v>
      </c>
      <c r="E11" s="107">
        <v>72200</v>
      </c>
      <c r="F11" s="107">
        <v>74400</v>
      </c>
    </row>
    <row r="12" spans="2:6">
      <c r="B12" s="605"/>
      <c r="C12" s="80" t="s">
        <v>629</v>
      </c>
      <c r="D12" s="107">
        <v>73300</v>
      </c>
      <c r="E12" s="107">
        <v>72200</v>
      </c>
      <c r="F12" s="107">
        <v>74400</v>
      </c>
    </row>
    <row r="13" spans="2:6">
      <c r="B13" s="606"/>
      <c r="C13" s="80" t="s">
        <v>630</v>
      </c>
      <c r="D13" s="107">
        <v>73300</v>
      </c>
      <c r="E13" s="107">
        <v>72200</v>
      </c>
      <c r="F13" s="107">
        <v>74400</v>
      </c>
    </row>
    <row r="14" spans="2:6">
      <c r="B14" s="602" t="s">
        <v>631</v>
      </c>
      <c r="C14" s="603"/>
      <c r="D14" s="107">
        <v>56100</v>
      </c>
      <c r="E14" s="107">
        <v>54300</v>
      </c>
      <c r="F14" s="107">
        <v>58300</v>
      </c>
    </row>
  </sheetData>
  <mergeCells count="10">
    <mergeCell ref="B14:C14"/>
    <mergeCell ref="B2:F2"/>
    <mergeCell ref="B10:B13"/>
    <mergeCell ref="B3:F3"/>
    <mergeCell ref="B4:C4"/>
    <mergeCell ref="B5:C5"/>
    <mergeCell ref="B6:C6"/>
    <mergeCell ref="B7:C7"/>
    <mergeCell ref="B8:C8"/>
    <mergeCell ref="B9:C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G5"/>
  <sheetViews>
    <sheetView workbookViewId="0"/>
  </sheetViews>
  <sheetFormatPr baseColWidth="10" defaultColWidth="9.109375" defaultRowHeight="14.4"/>
  <cols>
    <col min="4" max="5" width="15.44140625" customWidth="1"/>
    <col min="6" max="7" width="23" customWidth="1"/>
  </cols>
  <sheetData>
    <row r="2" spans="2:7" ht="37.5" customHeight="1">
      <c r="B2" s="520" t="s">
        <v>632</v>
      </c>
      <c r="C2" s="520"/>
      <c r="D2" s="520"/>
      <c r="E2" s="520"/>
      <c r="F2" s="520"/>
      <c r="G2" s="520"/>
    </row>
    <row r="3" spans="2:7" ht="28.8">
      <c r="B3" s="79"/>
      <c r="C3" s="79"/>
      <c r="D3" s="110" t="s">
        <v>633</v>
      </c>
      <c r="E3" s="110" t="s">
        <v>634</v>
      </c>
      <c r="F3" s="110" t="s">
        <v>635</v>
      </c>
      <c r="G3" s="110" t="s">
        <v>634</v>
      </c>
    </row>
    <row r="4" spans="2:7" ht="28.8">
      <c r="B4" s="79" t="s">
        <v>636</v>
      </c>
      <c r="C4" s="79"/>
      <c r="D4" s="110">
        <v>7</v>
      </c>
      <c r="E4" s="120">
        <v>0.5</v>
      </c>
      <c r="F4" s="110">
        <v>2</v>
      </c>
      <c r="G4" s="121" t="s">
        <v>637</v>
      </c>
    </row>
    <row r="5" spans="2:7" ht="28.5" customHeight="1">
      <c r="B5" s="520" t="s">
        <v>638</v>
      </c>
      <c r="C5" s="520"/>
      <c r="D5" s="520"/>
      <c r="E5" s="520"/>
      <c r="F5" s="520"/>
      <c r="G5" s="520"/>
    </row>
  </sheetData>
  <mergeCells count="2">
    <mergeCell ref="B5:G5"/>
    <mergeCell ref="B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E5"/>
  <sheetViews>
    <sheetView workbookViewId="0"/>
  </sheetViews>
  <sheetFormatPr baseColWidth="10" defaultColWidth="9.109375" defaultRowHeight="14.4"/>
  <cols>
    <col min="2" max="2" width="17.6640625" customWidth="1"/>
    <col min="3" max="3" width="17" customWidth="1"/>
  </cols>
  <sheetData>
    <row r="2" spans="2:5" ht="41.25" customHeight="1">
      <c r="B2" s="520" t="s">
        <v>639</v>
      </c>
      <c r="C2" s="520"/>
      <c r="D2" s="520"/>
      <c r="E2" s="520"/>
    </row>
    <row r="3" spans="2:5">
      <c r="B3" s="79" t="s">
        <v>625</v>
      </c>
      <c r="C3" s="79" t="s">
        <v>604</v>
      </c>
      <c r="D3" s="79" t="s">
        <v>605</v>
      </c>
      <c r="E3" s="79" t="s">
        <v>606</v>
      </c>
    </row>
    <row r="4" spans="2:5">
      <c r="B4" s="79" t="s">
        <v>640</v>
      </c>
      <c r="C4" s="107">
        <v>70000</v>
      </c>
      <c r="D4" s="107">
        <v>67500</v>
      </c>
      <c r="E4" s="107">
        <v>73000</v>
      </c>
    </row>
    <row r="5" spans="2:5">
      <c r="B5" s="79" t="s">
        <v>641</v>
      </c>
      <c r="C5" s="107">
        <v>71500</v>
      </c>
      <c r="D5" s="107">
        <v>69800</v>
      </c>
      <c r="E5" s="107">
        <v>74400</v>
      </c>
    </row>
  </sheetData>
  <mergeCells count="1">
    <mergeCell ref="B2:E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E6"/>
  <sheetViews>
    <sheetView workbookViewId="0"/>
  </sheetViews>
  <sheetFormatPr baseColWidth="10" defaultColWidth="9.109375" defaultRowHeight="14.4"/>
  <cols>
    <col min="3" max="5" width="21.44140625" customWidth="1"/>
  </cols>
  <sheetData>
    <row r="2" spans="2:5" ht="37.5" customHeight="1">
      <c r="B2" s="520" t="s">
        <v>642</v>
      </c>
      <c r="C2" s="520"/>
      <c r="D2" s="520"/>
      <c r="E2" s="520"/>
    </row>
    <row r="3" spans="2:5" ht="50.25" customHeight="1">
      <c r="B3" s="79" t="s">
        <v>625</v>
      </c>
      <c r="C3" s="111" t="s">
        <v>643</v>
      </c>
      <c r="D3" s="111" t="s">
        <v>644</v>
      </c>
      <c r="E3" s="111" t="s">
        <v>645</v>
      </c>
    </row>
    <row r="4" spans="2:5">
      <c r="B4" s="79" t="s">
        <v>646</v>
      </c>
      <c r="C4" s="79">
        <v>0.5</v>
      </c>
      <c r="D4" s="79">
        <v>2</v>
      </c>
      <c r="E4" s="79">
        <v>250</v>
      </c>
    </row>
    <row r="5" spans="2:5">
      <c r="B5" s="79"/>
      <c r="C5" s="79" t="s">
        <v>647</v>
      </c>
      <c r="D5" s="79" t="s">
        <v>648</v>
      </c>
      <c r="E5" s="79" t="s">
        <v>649</v>
      </c>
    </row>
    <row r="6" spans="2:5" ht="141" customHeight="1">
      <c r="B6" s="520" t="s">
        <v>650</v>
      </c>
      <c r="C6" s="520"/>
      <c r="D6" s="520"/>
      <c r="E6" s="520"/>
    </row>
  </sheetData>
  <mergeCells count="2">
    <mergeCell ref="B6:E6"/>
    <mergeCell ref="B2:E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B2:V67"/>
  <sheetViews>
    <sheetView showGridLines="0" workbookViewId="0"/>
  </sheetViews>
  <sheetFormatPr baseColWidth="10" defaultColWidth="11.44140625" defaultRowHeight="14.4"/>
  <cols>
    <col min="1" max="1" width="3.6640625" customWidth="1"/>
    <col min="2" max="2" width="53.88671875" bestFit="1" customWidth="1"/>
    <col min="3" max="3" width="22.5546875" bestFit="1" customWidth="1"/>
    <col min="4" max="4" width="51.44140625" bestFit="1" customWidth="1"/>
    <col min="5" max="5" width="41.88671875" bestFit="1" customWidth="1"/>
    <col min="6" max="6" width="32.5546875" customWidth="1"/>
    <col min="7" max="7" width="18.6640625" customWidth="1"/>
    <col min="8" max="8" width="11.33203125" bestFit="1" customWidth="1"/>
    <col min="9" max="9" width="11.109375" bestFit="1" customWidth="1"/>
    <col min="10" max="10" width="11.5546875" bestFit="1" customWidth="1"/>
    <col min="11" max="11" width="17.88671875" bestFit="1" customWidth="1"/>
    <col min="12" max="18" width="16.5546875" customWidth="1"/>
    <col min="19" max="19" width="18.33203125" bestFit="1" customWidth="1"/>
    <col min="20" max="20" width="16.5546875" customWidth="1"/>
    <col min="21" max="21" width="18.33203125" bestFit="1" customWidth="1"/>
    <col min="22" max="22" width="59.88671875" bestFit="1" customWidth="1"/>
  </cols>
  <sheetData>
    <row r="2" spans="2:22">
      <c r="B2" s="61" t="s">
        <v>343</v>
      </c>
      <c r="C2" s="61" t="s">
        <v>344</v>
      </c>
      <c r="D2" s="61" t="s">
        <v>345</v>
      </c>
      <c r="E2" s="61" t="s">
        <v>346</v>
      </c>
    </row>
    <row r="3" spans="2:22">
      <c r="B3" s="62" t="s">
        <v>347</v>
      </c>
      <c r="C3" s="63">
        <v>1</v>
      </c>
      <c r="D3" s="64" t="s">
        <v>102</v>
      </c>
      <c r="E3" s="64" t="s">
        <v>348</v>
      </c>
    </row>
    <row r="4" spans="2:22">
      <c r="B4" s="62" t="s">
        <v>156</v>
      </c>
      <c r="C4" s="63">
        <v>28</v>
      </c>
      <c r="D4" s="64" t="s">
        <v>102</v>
      </c>
      <c r="E4" s="64" t="s">
        <v>348</v>
      </c>
    </row>
    <row r="5" spans="2:22">
      <c r="B5" s="62" t="s">
        <v>349</v>
      </c>
      <c r="C5" s="63">
        <v>265</v>
      </c>
      <c r="D5" s="64" t="s">
        <v>102</v>
      </c>
      <c r="E5" s="64" t="s">
        <v>348</v>
      </c>
    </row>
    <row r="6" spans="2:22">
      <c r="B6" s="159"/>
      <c r="C6" s="160"/>
      <c r="D6" s="419"/>
      <c r="E6" s="419"/>
    </row>
    <row r="7" spans="2:22">
      <c r="B7" s="1" t="s">
        <v>358</v>
      </c>
      <c r="G7" s="414"/>
    </row>
    <row r="8" spans="2:22">
      <c r="B8" s="1" t="s">
        <v>651</v>
      </c>
      <c r="G8" s="414"/>
    </row>
    <row r="9" spans="2:22">
      <c r="B9" s="1" t="s">
        <v>124</v>
      </c>
      <c r="G9" s="414"/>
    </row>
    <row r="10" spans="2:22">
      <c r="B10" s="1"/>
      <c r="G10" s="414"/>
    </row>
    <row r="11" spans="2:22" ht="28.8">
      <c r="B11" s="71" t="s">
        <v>362</v>
      </c>
      <c r="C11" s="71" t="s">
        <v>93</v>
      </c>
      <c r="D11" s="410" t="s">
        <v>652</v>
      </c>
      <c r="E11" s="410" t="s">
        <v>653</v>
      </c>
      <c r="F11" s="410" t="s">
        <v>654</v>
      </c>
      <c r="G11" s="410" t="s">
        <v>655</v>
      </c>
      <c r="H11" s="410" t="s">
        <v>656</v>
      </c>
      <c r="I11" s="410" t="s">
        <v>657</v>
      </c>
      <c r="J11" s="410" t="s">
        <v>658</v>
      </c>
      <c r="K11" s="410" t="s">
        <v>345</v>
      </c>
      <c r="L11" s="410" t="s">
        <v>659</v>
      </c>
      <c r="M11" s="410" t="s">
        <v>660</v>
      </c>
      <c r="N11" s="410" t="s">
        <v>661</v>
      </c>
      <c r="O11" s="410" t="s">
        <v>662</v>
      </c>
      <c r="P11" s="410" t="s">
        <v>663</v>
      </c>
      <c r="Q11" s="410" t="s">
        <v>664</v>
      </c>
      <c r="R11" s="410" t="s">
        <v>665</v>
      </c>
      <c r="S11" s="410" t="s">
        <v>345</v>
      </c>
      <c r="T11" s="410" t="s">
        <v>666</v>
      </c>
      <c r="U11" s="410" t="s">
        <v>345</v>
      </c>
      <c r="V11" s="410" t="s">
        <v>346</v>
      </c>
    </row>
    <row r="12" spans="2:22">
      <c r="B12" s="402" t="s">
        <v>125</v>
      </c>
      <c r="C12" s="402" t="s">
        <v>106</v>
      </c>
      <c r="D12" s="102">
        <f>'1.3 P.I. Cemento'!P5*1000</f>
        <v>316.83240000000001</v>
      </c>
      <c r="E12" s="103">
        <v>0</v>
      </c>
      <c r="F12" s="103">
        <v>0</v>
      </c>
      <c r="G12" s="103">
        <v>0</v>
      </c>
      <c r="H12" s="103">
        <v>0</v>
      </c>
      <c r="I12" s="103">
        <v>0</v>
      </c>
      <c r="J12" s="103">
        <v>0</v>
      </c>
      <c r="K12" s="103" t="str">
        <f>"kg GEI/"&amp;C12</f>
        <v>kg GEI/toneladas</v>
      </c>
      <c r="L12" s="103">
        <f>D12*$C$3</f>
        <v>316.83240000000001</v>
      </c>
      <c r="M12" s="103">
        <f>E12*$C$4</f>
        <v>0</v>
      </c>
      <c r="N12" s="103">
        <f>F12*$C$5</f>
        <v>0</v>
      </c>
      <c r="O12" s="411">
        <v>0</v>
      </c>
      <c r="P12" s="411">
        <v>0</v>
      </c>
      <c r="Q12" s="411">
        <v>0</v>
      </c>
      <c r="R12" s="411">
        <v>0</v>
      </c>
      <c r="S12" s="103" t="str">
        <f>"kgCO2e/"&amp;C12</f>
        <v>kgCO2e/toneladas</v>
      </c>
      <c r="T12" s="103">
        <f>SUM(L12:R12)</f>
        <v>316.83240000000001</v>
      </c>
      <c r="U12" s="103" t="str">
        <f>S12</f>
        <v>kgCO2e/toneladas</v>
      </c>
      <c r="V12" s="402" t="s">
        <v>667</v>
      </c>
    </row>
    <row r="13" spans="2:22">
      <c r="B13" s="402" t="s">
        <v>125</v>
      </c>
      <c r="C13" s="402" t="s">
        <v>107</v>
      </c>
      <c r="D13" s="104">
        <f>'1.3 P.I. Cemento'!P5*1000/1000</f>
        <v>0.31683240000000001</v>
      </c>
      <c r="E13" s="103">
        <v>0</v>
      </c>
      <c r="F13" s="103">
        <v>0</v>
      </c>
      <c r="G13" s="103">
        <v>0</v>
      </c>
      <c r="H13" s="103">
        <v>0</v>
      </c>
      <c r="I13" s="103">
        <v>0</v>
      </c>
      <c r="J13" s="103">
        <v>0</v>
      </c>
      <c r="K13" s="103" t="str">
        <f t="shared" ref="K13:K23" si="0">"kg GEI/"&amp;C13</f>
        <v>kg GEI/kilogramos</v>
      </c>
      <c r="L13" s="328">
        <f t="shared" ref="L13:L23" si="1">D13*$C$3</f>
        <v>0.31683240000000001</v>
      </c>
      <c r="M13" s="103">
        <f t="shared" ref="M13:M20" si="2">E13*$C$4</f>
        <v>0</v>
      </c>
      <c r="N13" s="103">
        <f t="shared" ref="N13:N23" si="3">F13*$C$5</f>
        <v>0</v>
      </c>
      <c r="O13" s="411">
        <v>0</v>
      </c>
      <c r="P13" s="411">
        <v>0</v>
      </c>
      <c r="Q13" s="411">
        <v>0</v>
      </c>
      <c r="R13" s="411">
        <v>0</v>
      </c>
      <c r="S13" s="103" t="str">
        <f t="shared" ref="S13:S23" si="4">"kgCO2e/"&amp;C13</f>
        <v>kgCO2e/kilogramos</v>
      </c>
      <c r="T13" s="328">
        <f t="shared" ref="T13:T23" si="5">SUM(L13:R13)</f>
        <v>0.31683240000000001</v>
      </c>
      <c r="U13" s="103" t="str">
        <f t="shared" ref="U13:U23" si="6">S13</f>
        <v>kgCO2e/kilogramos</v>
      </c>
      <c r="V13" s="402" t="s">
        <v>667</v>
      </c>
    </row>
    <row r="14" spans="2:22">
      <c r="B14" s="402" t="s">
        <v>125</v>
      </c>
      <c r="C14" s="402" t="s">
        <v>108</v>
      </c>
      <c r="D14" s="162">
        <f>'1.3 P.I. Cemento'!P5*1000/1000000</f>
        <v>3.1683239999999999E-4</v>
      </c>
      <c r="E14" s="103">
        <v>0</v>
      </c>
      <c r="F14" s="103">
        <v>0</v>
      </c>
      <c r="G14" s="103">
        <v>0</v>
      </c>
      <c r="H14" s="103">
        <v>0</v>
      </c>
      <c r="I14" s="103">
        <v>0</v>
      </c>
      <c r="J14" s="103">
        <v>0</v>
      </c>
      <c r="K14" s="103" t="str">
        <f t="shared" si="0"/>
        <v>kg GEI/gramos</v>
      </c>
      <c r="L14" s="329">
        <f t="shared" si="1"/>
        <v>3.1683239999999999E-4</v>
      </c>
      <c r="M14" s="103">
        <f t="shared" si="2"/>
        <v>0</v>
      </c>
      <c r="N14" s="103">
        <f t="shared" si="3"/>
        <v>0</v>
      </c>
      <c r="O14" s="411">
        <v>0</v>
      </c>
      <c r="P14" s="411">
        <v>0</v>
      </c>
      <c r="Q14" s="411">
        <v>0</v>
      </c>
      <c r="R14" s="411">
        <v>0</v>
      </c>
      <c r="S14" s="103" t="str">
        <f t="shared" si="4"/>
        <v>kgCO2e/gramos</v>
      </c>
      <c r="T14" s="329">
        <f t="shared" si="5"/>
        <v>3.1683239999999999E-4</v>
      </c>
      <c r="U14" s="103" t="str">
        <f t="shared" si="6"/>
        <v>kgCO2e/gramos</v>
      </c>
      <c r="V14" s="402" t="s">
        <v>667</v>
      </c>
    </row>
    <row r="15" spans="2:22">
      <c r="B15" s="402" t="s">
        <v>126</v>
      </c>
      <c r="C15" s="402" t="s">
        <v>106</v>
      </c>
      <c r="D15" s="102">
        <f>'1.3 P.I. Cal'!Q10*1000</f>
        <v>695.12770499999999</v>
      </c>
      <c r="E15" s="103">
        <v>0</v>
      </c>
      <c r="F15" s="103">
        <v>0</v>
      </c>
      <c r="G15" s="103">
        <v>0</v>
      </c>
      <c r="H15" s="103">
        <v>0</v>
      </c>
      <c r="I15" s="103">
        <v>0</v>
      </c>
      <c r="J15" s="103">
        <v>0</v>
      </c>
      <c r="K15" s="103" t="str">
        <f t="shared" si="0"/>
        <v>kg GEI/toneladas</v>
      </c>
      <c r="L15" s="103">
        <f t="shared" si="1"/>
        <v>695.12770499999999</v>
      </c>
      <c r="M15" s="103">
        <f t="shared" si="2"/>
        <v>0</v>
      </c>
      <c r="N15" s="103">
        <f t="shared" si="3"/>
        <v>0</v>
      </c>
      <c r="O15" s="411">
        <v>0</v>
      </c>
      <c r="P15" s="411">
        <v>0</v>
      </c>
      <c r="Q15" s="411">
        <v>0</v>
      </c>
      <c r="R15" s="411">
        <v>0</v>
      </c>
      <c r="S15" s="103" t="str">
        <f t="shared" si="4"/>
        <v>kgCO2e/toneladas</v>
      </c>
      <c r="T15" s="103">
        <f t="shared" si="5"/>
        <v>695.12770499999999</v>
      </c>
      <c r="U15" s="103" t="str">
        <f t="shared" si="6"/>
        <v>kgCO2e/toneladas</v>
      </c>
      <c r="V15" s="402" t="s">
        <v>667</v>
      </c>
    </row>
    <row r="16" spans="2:22">
      <c r="B16" s="402" t="s">
        <v>126</v>
      </c>
      <c r="C16" s="402" t="s">
        <v>107</v>
      </c>
      <c r="D16" s="104">
        <f>'1.3 P.I. Cal'!Q10*1000/1000</f>
        <v>0.69512770499999998</v>
      </c>
      <c r="E16" s="103">
        <v>0</v>
      </c>
      <c r="F16" s="103">
        <v>0</v>
      </c>
      <c r="G16" s="103">
        <v>0</v>
      </c>
      <c r="H16" s="103">
        <v>0</v>
      </c>
      <c r="I16" s="103">
        <v>0</v>
      </c>
      <c r="J16" s="103">
        <v>0</v>
      </c>
      <c r="K16" s="103" t="str">
        <f t="shared" si="0"/>
        <v>kg GEI/kilogramos</v>
      </c>
      <c r="L16" s="328">
        <f t="shared" si="1"/>
        <v>0.69512770499999998</v>
      </c>
      <c r="M16" s="103">
        <f t="shared" si="2"/>
        <v>0</v>
      </c>
      <c r="N16" s="103">
        <f t="shared" si="3"/>
        <v>0</v>
      </c>
      <c r="O16" s="411">
        <v>0</v>
      </c>
      <c r="P16" s="411">
        <v>0</v>
      </c>
      <c r="Q16" s="411">
        <v>0</v>
      </c>
      <c r="R16" s="411">
        <v>0</v>
      </c>
      <c r="S16" s="103" t="str">
        <f t="shared" si="4"/>
        <v>kgCO2e/kilogramos</v>
      </c>
      <c r="T16" s="328">
        <f t="shared" si="5"/>
        <v>0.69512770499999998</v>
      </c>
      <c r="U16" s="103" t="str">
        <f t="shared" si="6"/>
        <v>kgCO2e/kilogramos</v>
      </c>
      <c r="V16" s="402" t="s">
        <v>667</v>
      </c>
    </row>
    <row r="17" spans="2:22">
      <c r="B17" s="402" t="s">
        <v>126</v>
      </c>
      <c r="C17" s="402" t="s">
        <v>108</v>
      </c>
      <c r="D17" s="162">
        <f>'1.3 P.I. Cal'!Q10*1000/1000000</f>
        <v>6.9512770500000003E-4</v>
      </c>
      <c r="E17" s="103">
        <v>0</v>
      </c>
      <c r="F17" s="103">
        <v>0</v>
      </c>
      <c r="G17" s="103">
        <v>0</v>
      </c>
      <c r="H17" s="103">
        <v>0</v>
      </c>
      <c r="I17" s="103">
        <v>0</v>
      </c>
      <c r="J17" s="103">
        <v>0</v>
      </c>
      <c r="K17" s="103" t="str">
        <f t="shared" si="0"/>
        <v>kg GEI/gramos</v>
      </c>
      <c r="L17" s="329">
        <f t="shared" si="1"/>
        <v>6.9512770500000003E-4</v>
      </c>
      <c r="M17" s="103">
        <f t="shared" si="2"/>
        <v>0</v>
      </c>
      <c r="N17" s="103">
        <f t="shared" si="3"/>
        <v>0</v>
      </c>
      <c r="O17" s="411">
        <v>0</v>
      </c>
      <c r="P17" s="411">
        <v>0</v>
      </c>
      <c r="Q17" s="411">
        <v>0</v>
      </c>
      <c r="R17" s="411">
        <v>0</v>
      </c>
      <c r="S17" s="103" t="str">
        <f t="shared" si="4"/>
        <v>kgCO2e/gramos</v>
      </c>
      <c r="T17" s="329">
        <f t="shared" si="5"/>
        <v>6.9512770500000003E-4</v>
      </c>
      <c r="U17" s="103" t="str">
        <f t="shared" si="6"/>
        <v>kgCO2e/gramos</v>
      </c>
      <c r="V17" s="402" t="s">
        <v>667</v>
      </c>
    </row>
    <row r="18" spans="2:22">
      <c r="B18" s="72" t="s">
        <v>127</v>
      </c>
      <c r="C18" s="402" t="s">
        <v>106</v>
      </c>
      <c r="D18" s="102">
        <f>'1.3 P.I. Vidrio'!N8*1000</f>
        <v>145.16437320790482</v>
      </c>
      <c r="E18" s="103">
        <v>0</v>
      </c>
      <c r="F18" s="103">
        <v>0</v>
      </c>
      <c r="G18" s="103">
        <v>0</v>
      </c>
      <c r="H18" s="103">
        <v>0</v>
      </c>
      <c r="I18" s="103">
        <v>0</v>
      </c>
      <c r="J18" s="103">
        <v>0</v>
      </c>
      <c r="K18" s="103" t="str">
        <f t="shared" si="0"/>
        <v>kg GEI/toneladas</v>
      </c>
      <c r="L18" s="103">
        <f t="shared" si="1"/>
        <v>145.16437320790482</v>
      </c>
      <c r="M18" s="103">
        <f t="shared" si="2"/>
        <v>0</v>
      </c>
      <c r="N18" s="103">
        <f t="shared" si="3"/>
        <v>0</v>
      </c>
      <c r="O18" s="411">
        <v>0</v>
      </c>
      <c r="P18" s="411">
        <v>0</v>
      </c>
      <c r="Q18" s="411">
        <v>0</v>
      </c>
      <c r="R18" s="411">
        <v>0</v>
      </c>
      <c r="S18" s="103" t="str">
        <f t="shared" si="4"/>
        <v>kgCO2e/toneladas</v>
      </c>
      <c r="T18" s="103">
        <f t="shared" si="5"/>
        <v>145.16437320790482</v>
      </c>
      <c r="U18" s="103" t="str">
        <f t="shared" si="6"/>
        <v>kgCO2e/toneladas</v>
      </c>
      <c r="V18" s="402" t="s">
        <v>667</v>
      </c>
    </row>
    <row r="19" spans="2:22">
      <c r="B19" s="72" t="s">
        <v>127</v>
      </c>
      <c r="C19" s="402" t="s">
        <v>107</v>
      </c>
      <c r="D19" s="104">
        <f>'1.3 P.I. Vidrio'!N8*1000/1000</f>
        <v>0.14516437320790482</v>
      </c>
      <c r="E19" s="103">
        <v>0</v>
      </c>
      <c r="F19" s="103">
        <v>0</v>
      </c>
      <c r="G19" s="103">
        <v>0</v>
      </c>
      <c r="H19" s="103">
        <v>0</v>
      </c>
      <c r="I19" s="103">
        <v>0</v>
      </c>
      <c r="J19" s="103">
        <v>0</v>
      </c>
      <c r="K19" s="103" t="str">
        <f t="shared" si="0"/>
        <v>kg GEI/kilogramos</v>
      </c>
      <c r="L19" s="328">
        <f t="shared" si="1"/>
        <v>0.14516437320790482</v>
      </c>
      <c r="M19" s="103">
        <f t="shared" si="2"/>
        <v>0</v>
      </c>
      <c r="N19" s="103">
        <f t="shared" si="3"/>
        <v>0</v>
      </c>
      <c r="O19" s="411">
        <v>0</v>
      </c>
      <c r="P19" s="411">
        <v>0</v>
      </c>
      <c r="Q19" s="411">
        <v>0</v>
      </c>
      <c r="R19" s="411">
        <v>0</v>
      </c>
      <c r="S19" s="103" t="str">
        <f t="shared" si="4"/>
        <v>kgCO2e/kilogramos</v>
      </c>
      <c r="T19" s="328">
        <f t="shared" si="5"/>
        <v>0.14516437320790482</v>
      </c>
      <c r="U19" s="103" t="str">
        <f>S19</f>
        <v>kgCO2e/kilogramos</v>
      </c>
      <c r="V19" s="402" t="s">
        <v>667</v>
      </c>
    </row>
    <row r="20" spans="2:22">
      <c r="B20" s="72" t="s">
        <v>127</v>
      </c>
      <c r="C20" s="402" t="s">
        <v>108</v>
      </c>
      <c r="D20" s="162">
        <f>'1.3 P.I. Vidrio'!N8*1000/1000000</f>
        <v>1.4516437320790483E-4</v>
      </c>
      <c r="E20" s="103">
        <v>0</v>
      </c>
      <c r="F20" s="103">
        <v>0</v>
      </c>
      <c r="G20" s="103">
        <v>0</v>
      </c>
      <c r="H20" s="103">
        <v>0</v>
      </c>
      <c r="I20" s="103">
        <v>0</v>
      </c>
      <c r="J20" s="103">
        <v>0</v>
      </c>
      <c r="K20" s="103" t="str">
        <f t="shared" si="0"/>
        <v>kg GEI/gramos</v>
      </c>
      <c r="L20" s="329">
        <f t="shared" si="1"/>
        <v>1.4516437320790483E-4</v>
      </c>
      <c r="M20" s="103">
        <f t="shared" si="2"/>
        <v>0</v>
      </c>
      <c r="N20" s="103">
        <f t="shared" si="3"/>
        <v>0</v>
      </c>
      <c r="O20" s="411">
        <v>0</v>
      </c>
      <c r="P20" s="411">
        <v>0</v>
      </c>
      <c r="Q20" s="411">
        <v>0</v>
      </c>
      <c r="R20" s="411">
        <v>0</v>
      </c>
      <c r="S20" s="103" t="str">
        <f t="shared" si="4"/>
        <v>kgCO2e/gramos</v>
      </c>
      <c r="T20" s="329">
        <f t="shared" si="5"/>
        <v>1.4516437320790483E-4</v>
      </c>
      <c r="U20" s="103" t="str">
        <f t="shared" si="6"/>
        <v>kgCO2e/gramos</v>
      </c>
      <c r="V20" s="402" t="s">
        <v>667</v>
      </c>
    </row>
    <row r="21" spans="2:22">
      <c r="B21" s="72" t="s">
        <v>128</v>
      </c>
      <c r="C21" s="402" t="s">
        <v>106</v>
      </c>
      <c r="D21" s="103">
        <f>'1.3 P.I. Hierro, Acero y Coque'!$N$11*1000</f>
        <v>560</v>
      </c>
      <c r="E21" s="489">
        <f>'1.3 P.I. Hierro, Acero y Coque'!O11*1000</f>
        <v>1E-4</v>
      </c>
      <c r="F21" s="103">
        <v>0</v>
      </c>
      <c r="G21" s="103">
        <v>0</v>
      </c>
      <c r="H21" s="103">
        <v>0</v>
      </c>
      <c r="I21" s="103">
        <v>0</v>
      </c>
      <c r="J21" s="103">
        <v>0</v>
      </c>
      <c r="K21" s="103" t="str">
        <f t="shared" si="0"/>
        <v>kg GEI/toneladas</v>
      </c>
      <c r="L21" s="103">
        <f t="shared" si="1"/>
        <v>560</v>
      </c>
      <c r="M21" s="358">
        <f>E21*$C$4</f>
        <v>2.8E-3</v>
      </c>
      <c r="N21" s="103">
        <f t="shared" si="3"/>
        <v>0</v>
      </c>
      <c r="O21" s="411">
        <v>0</v>
      </c>
      <c r="P21" s="411">
        <v>0</v>
      </c>
      <c r="Q21" s="411">
        <v>0</v>
      </c>
      <c r="R21" s="411">
        <v>0</v>
      </c>
      <c r="S21" s="103" t="str">
        <f t="shared" si="4"/>
        <v>kgCO2e/toneladas</v>
      </c>
      <c r="T21" s="103">
        <f t="shared" si="5"/>
        <v>560.00279999999998</v>
      </c>
      <c r="U21" s="103" t="str">
        <f t="shared" si="6"/>
        <v>kgCO2e/toneladas</v>
      </c>
      <c r="V21" s="402" t="s">
        <v>667</v>
      </c>
    </row>
    <row r="22" spans="2:22">
      <c r="B22" s="72" t="s">
        <v>128</v>
      </c>
      <c r="C22" s="402" t="s">
        <v>107</v>
      </c>
      <c r="D22" s="103">
        <f>'1.3 P.I. Hierro, Acero y Coque'!$N$11*1000/1000</f>
        <v>0.56000000000000005</v>
      </c>
      <c r="E22" s="489">
        <f>'1.3 P.I. Hierro, Acero y Coque'!O11*1000/1000</f>
        <v>1.0000000000000001E-7</v>
      </c>
      <c r="F22" s="103">
        <v>0</v>
      </c>
      <c r="G22" s="103">
        <v>0</v>
      </c>
      <c r="H22" s="103">
        <v>0</v>
      </c>
      <c r="I22" s="103">
        <v>0</v>
      </c>
      <c r="J22" s="103">
        <v>0</v>
      </c>
      <c r="K22" s="103" t="str">
        <f t="shared" si="0"/>
        <v>kg GEI/kilogramos</v>
      </c>
      <c r="L22" s="328">
        <f t="shared" si="1"/>
        <v>0.56000000000000005</v>
      </c>
      <c r="M22" s="358">
        <f t="shared" ref="M22:M23" si="7">E22*$C$4</f>
        <v>2.8000000000000003E-6</v>
      </c>
      <c r="N22" s="103">
        <f t="shared" si="3"/>
        <v>0</v>
      </c>
      <c r="O22" s="411">
        <v>0</v>
      </c>
      <c r="P22" s="411">
        <v>0</v>
      </c>
      <c r="Q22" s="411">
        <v>0</v>
      </c>
      <c r="R22" s="411">
        <v>0</v>
      </c>
      <c r="S22" s="103" t="str">
        <f t="shared" si="4"/>
        <v>kgCO2e/kilogramos</v>
      </c>
      <c r="T22" s="328">
        <f t="shared" si="5"/>
        <v>0.56000280000000002</v>
      </c>
      <c r="U22" s="103" t="str">
        <f t="shared" si="6"/>
        <v>kgCO2e/kilogramos</v>
      </c>
      <c r="V22" s="402" t="s">
        <v>667</v>
      </c>
    </row>
    <row r="23" spans="2:22">
      <c r="B23" s="72" t="s">
        <v>128</v>
      </c>
      <c r="C23" s="402" t="s">
        <v>108</v>
      </c>
      <c r="D23" s="123">
        <f>'1.3 P.I. Hierro, Acero y Coque'!$N$11*1000/1000000</f>
        <v>5.5999999999999995E-4</v>
      </c>
      <c r="E23" s="489">
        <f>'1.3 P.I. Hierro, Acero y Coque'!O11*1000/1000000</f>
        <v>1E-10</v>
      </c>
      <c r="F23" s="103">
        <v>0</v>
      </c>
      <c r="G23" s="103">
        <v>0</v>
      </c>
      <c r="H23" s="103">
        <v>0</v>
      </c>
      <c r="I23" s="103">
        <v>0</v>
      </c>
      <c r="J23" s="103">
        <v>0</v>
      </c>
      <c r="K23" s="103" t="str">
        <f t="shared" si="0"/>
        <v>kg GEI/gramos</v>
      </c>
      <c r="L23" s="329">
        <f t="shared" si="1"/>
        <v>5.5999999999999995E-4</v>
      </c>
      <c r="M23" s="358">
        <f t="shared" si="7"/>
        <v>2.8000000000000003E-9</v>
      </c>
      <c r="N23" s="103">
        <f t="shared" si="3"/>
        <v>0</v>
      </c>
      <c r="O23" s="411">
        <v>0</v>
      </c>
      <c r="P23" s="411">
        <v>0</v>
      </c>
      <c r="Q23" s="411">
        <v>0</v>
      </c>
      <c r="R23" s="411">
        <v>0</v>
      </c>
      <c r="S23" s="103" t="str">
        <f t="shared" si="4"/>
        <v>kgCO2e/gramos</v>
      </c>
      <c r="T23" s="329">
        <f t="shared" si="5"/>
        <v>5.6000279999999993E-4</v>
      </c>
      <c r="U23" s="103" t="str">
        <f t="shared" si="6"/>
        <v>kgCO2e/gramos</v>
      </c>
      <c r="V23" s="402" t="s">
        <v>667</v>
      </c>
    </row>
    <row r="26" spans="2:22">
      <c r="B26" s="1" t="s">
        <v>358</v>
      </c>
    </row>
    <row r="27" spans="2:22">
      <c r="B27" s="1" t="s">
        <v>651</v>
      </c>
    </row>
    <row r="28" spans="2:22">
      <c r="B28" s="1" t="s">
        <v>129</v>
      </c>
    </row>
    <row r="30" spans="2:22" ht="28.8">
      <c r="B30" s="71" t="s">
        <v>362</v>
      </c>
      <c r="C30" s="71" t="s">
        <v>93</v>
      </c>
      <c r="D30" s="420" t="s">
        <v>652</v>
      </c>
      <c r="E30" s="420" t="s">
        <v>653</v>
      </c>
      <c r="F30" s="420" t="s">
        <v>654</v>
      </c>
      <c r="G30" s="420" t="s">
        <v>655</v>
      </c>
      <c r="H30" s="420" t="s">
        <v>656</v>
      </c>
      <c r="I30" s="420" t="s">
        <v>657</v>
      </c>
      <c r="J30" s="420" t="s">
        <v>658</v>
      </c>
      <c r="K30" s="420" t="s">
        <v>345</v>
      </c>
      <c r="L30" s="420" t="s">
        <v>659</v>
      </c>
      <c r="M30" s="420" t="s">
        <v>660</v>
      </c>
      <c r="N30" s="420" t="s">
        <v>661</v>
      </c>
      <c r="O30" s="420" t="s">
        <v>662</v>
      </c>
      <c r="P30" s="420" t="s">
        <v>663</v>
      </c>
      <c r="Q30" s="420" t="s">
        <v>664</v>
      </c>
      <c r="R30" s="420" t="s">
        <v>665</v>
      </c>
      <c r="S30" s="420" t="s">
        <v>345</v>
      </c>
      <c r="T30" s="420" t="s">
        <v>666</v>
      </c>
      <c r="U30" s="420" t="s">
        <v>345</v>
      </c>
      <c r="V30" s="410" t="s">
        <v>346</v>
      </c>
    </row>
    <row r="31" spans="2:22">
      <c r="B31" s="402" t="s">
        <v>130</v>
      </c>
      <c r="C31" s="402" t="s">
        <v>131</v>
      </c>
      <c r="D31" s="102">
        <f>'1.3 P.I. Hierro, Acero y Coque'!$N$9*1000</f>
        <v>1350</v>
      </c>
      <c r="E31" s="103">
        <v>0</v>
      </c>
      <c r="F31" s="103">
        <v>0</v>
      </c>
      <c r="G31" s="103">
        <v>0</v>
      </c>
      <c r="H31" s="103">
        <v>0</v>
      </c>
      <c r="I31" s="103">
        <v>0</v>
      </c>
      <c r="J31" s="103">
        <v>0</v>
      </c>
      <c r="K31" s="103" t="str">
        <f>"kg GEI/"&amp;C31</f>
        <v>kg GEI/tonelada</v>
      </c>
      <c r="L31" s="103">
        <f>D31*$C$3</f>
        <v>1350</v>
      </c>
      <c r="M31" s="103">
        <f>E31*$C$4</f>
        <v>0</v>
      </c>
      <c r="N31" s="103">
        <f>F31*$C$5</f>
        <v>0</v>
      </c>
      <c r="O31" s="103">
        <f t="shared" ref="O31:O42" si="8">G31*$C$3</f>
        <v>0</v>
      </c>
      <c r="P31" s="103">
        <f t="shared" ref="P31:P42" si="9">H31*$C$3</f>
        <v>0</v>
      </c>
      <c r="Q31" s="103">
        <f t="shared" ref="Q31:Q42" si="10">I31*$C$3</f>
        <v>0</v>
      </c>
      <c r="R31" s="103">
        <f t="shared" ref="R31:R42" si="11">J31*$C$3</f>
        <v>0</v>
      </c>
      <c r="S31" s="103" t="str">
        <f>"kgCO2e/"&amp;C31</f>
        <v>kgCO2e/tonelada</v>
      </c>
      <c r="T31" s="103">
        <f>SUM(L31:R31)</f>
        <v>1350</v>
      </c>
      <c r="U31" s="103" t="str">
        <f>S31</f>
        <v>kgCO2e/tonelada</v>
      </c>
      <c r="V31" s="402" t="s">
        <v>667</v>
      </c>
    </row>
    <row r="32" spans="2:22">
      <c r="B32" s="402" t="s">
        <v>130</v>
      </c>
      <c r="C32" s="402" t="s">
        <v>107</v>
      </c>
      <c r="D32" s="104">
        <f>'1.3 P.I. Hierro, Acero y Coque'!$N$9*1000/1000</f>
        <v>1.35</v>
      </c>
      <c r="E32" s="103">
        <v>0</v>
      </c>
      <c r="F32" s="103">
        <v>0</v>
      </c>
      <c r="G32" s="103">
        <v>0</v>
      </c>
      <c r="H32" s="103">
        <v>0</v>
      </c>
      <c r="I32" s="103">
        <v>0</v>
      </c>
      <c r="J32" s="103">
        <v>0</v>
      </c>
      <c r="K32" s="103" t="str">
        <f t="shared" ref="K32:K42" si="12">"kg GEI/"&amp;C32</f>
        <v>kg GEI/kilogramos</v>
      </c>
      <c r="L32" s="328">
        <f t="shared" ref="L32:L42" si="13">D32*$C$3</f>
        <v>1.35</v>
      </c>
      <c r="M32" s="103">
        <f t="shared" ref="M32:M45" si="14">E32*$C$4</f>
        <v>0</v>
      </c>
      <c r="N32" s="103">
        <f t="shared" ref="N32:N45" si="15">F32*$C$5</f>
        <v>0</v>
      </c>
      <c r="O32" s="103">
        <f t="shared" si="8"/>
        <v>0</v>
      </c>
      <c r="P32" s="103">
        <f t="shared" si="9"/>
        <v>0</v>
      </c>
      <c r="Q32" s="103">
        <f t="shared" si="10"/>
        <v>0</v>
      </c>
      <c r="R32" s="103">
        <f t="shared" si="11"/>
        <v>0</v>
      </c>
      <c r="S32" s="103" t="str">
        <f t="shared" ref="S32:S45" si="16">"kgCO2e/"&amp;C32</f>
        <v>kgCO2e/kilogramos</v>
      </c>
      <c r="T32" s="103">
        <f t="shared" ref="T32:T42" si="17">SUM(L32:R32)</f>
        <v>1.35</v>
      </c>
      <c r="U32" s="103" t="str">
        <f t="shared" ref="U32:U42" si="18">S32</f>
        <v>kgCO2e/kilogramos</v>
      </c>
      <c r="V32" s="402" t="s">
        <v>667</v>
      </c>
    </row>
    <row r="33" spans="2:22">
      <c r="B33" s="402" t="s">
        <v>130</v>
      </c>
      <c r="C33" s="402" t="s">
        <v>108</v>
      </c>
      <c r="D33" s="162">
        <f>'1.3 P.I. Hierro, Acero y Coque'!$N$9*1000/1000000</f>
        <v>1.3500000000000001E-3</v>
      </c>
      <c r="E33" s="103">
        <v>0</v>
      </c>
      <c r="F33" s="103">
        <v>0</v>
      </c>
      <c r="G33" s="103">
        <v>0</v>
      </c>
      <c r="H33" s="103">
        <v>0</v>
      </c>
      <c r="I33" s="103">
        <v>0</v>
      </c>
      <c r="J33" s="103">
        <v>0</v>
      </c>
      <c r="K33" s="103" t="str">
        <f t="shared" si="12"/>
        <v>kg GEI/gramos</v>
      </c>
      <c r="L33" s="329">
        <f t="shared" si="13"/>
        <v>1.3500000000000001E-3</v>
      </c>
      <c r="M33" s="103">
        <f t="shared" si="14"/>
        <v>0</v>
      </c>
      <c r="N33" s="103">
        <f t="shared" si="15"/>
        <v>0</v>
      </c>
      <c r="O33" s="103">
        <f t="shared" si="8"/>
        <v>0</v>
      </c>
      <c r="P33" s="103">
        <f t="shared" si="9"/>
        <v>0</v>
      </c>
      <c r="Q33" s="103">
        <f t="shared" si="10"/>
        <v>0</v>
      </c>
      <c r="R33" s="103">
        <f t="shared" si="11"/>
        <v>0</v>
      </c>
      <c r="S33" s="103" t="str">
        <f t="shared" si="16"/>
        <v>kgCO2e/gramos</v>
      </c>
      <c r="T33" s="123">
        <f t="shared" si="17"/>
        <v>1.3500000000000001E-3</v>
      </c>
      <c r="U33" s="103" t="str">
        <f t="shared" si="18"/>
        <v>kgCO2e/gramos</v>
      </c>
      <c r="V33" s="402" t="s">
        <v>667</v>
      </c>
    </row>
    <row r="34" spans="2:22">
      <c r="B34" s="402" t="s">
        <v>132</v>
      </c>
      <c r="C34" s="402" t="s">
        <v>106</v>
      </c>
      <c r="D34" s="102">
        <f>'1.3 P.I. Hierro, Acero y Coque'!$N$10*1000</f>
        <v>700</v>
      </c>
      <c r="E34" s="103">
        <v>0</v>
      </c>
      <c r="F34" s="103">
        <v>0</v>
      </c>
      <c r="G34" s="103">
        <v>0</v>
      </c>
      <c r="H34" s="103">
        <v>0</v>
      </c>
      <c r="I34" s="103">
        <v>0</v>
      </c>
      <c r="J34" s="103">
        <v>0</v>
      </c>
      <c r="K34" s="103" t="str">
        <f t="shared" si="12"/>
        <v>kg GEI/toneladas</v>
      </c>
      <c r="L34" s="103">
        <f t="shared" si="13"/>
        <v>700</v>
      </c>
      <c r="M34" s="103">
        <f t="shared" si="14"/>
        <v>0</v>
      </c>
      <c r="N34" s="103">
        <f t="shared" si="15"/>
        <v>0</v>
      </c>
      <c r="O34" s="103">
        <f t="shared" si="8"/>
        <v>0</v>
      </c>
      <c r="P34" s="103">
        <f t="shared" si="9"/>
        <v>0</v>
      </c>
      <c r="Q34" s="103">
        <f t="shared" si="10"/>
        <v>0</v>
      </c>
      <c r="R34" s="103">
        <f t="shared" si="11"/>
        <v>0</v>
      </c>
      <c r="S34" s="103" t="str">
        <f t="shared" si="16"/>
        <v>kgCO2e/toneladas</v>
      </c>
      <c r="T34" s="103">
        <f t="shared" si="17"/>
        <v>700</v>
      </c>
      <c r="U34" s="103" t="str">
        <f t="shared" si="18"/>
        <v>kgCO2e/toneladas</v>
      </c>
      <c r="V34" s="402" t="s">
        <v>667</v>
      </c>
    </row>
    <row r="35" spans="2:22">
      <c r="B35" s="402" t="s">
        <v>132</v>
      </c>
      <c r="C35" s="402" t="s">
        <v>107</v>
      </c>
      <c r="D35" s="104">
        <f>'1.3 P.I. Hierro, Acero y Coque'!$N$10*1000/1000</f>
        <v>0.7</v>
      </c>
      <c r="E35" s="103">
        <v>0</v>
      </c>
      <c r="F35" s="103">
        <v>0</v>
      </c>
      <c r="G35" s="103">
        <v>0</v>
      </c>
      <c r="H35" s="103">
        <v>0</v>
      </c>
      <c r="I35" s="103">
        <v>0</v>
      </c>
      <c r="J35" s="103">
        <v>0</v>
      </c>
      <c r="K35" s="103" t="str">
        <f t="shared" si="12"/>
        <v>kg GEI/kilogramos</v>
      </c>
      <c r="L35" s="328">
        <f t="shared" si="13"/>
        <v>0.7</v>
      </c>
      <c r="M35" s="103">
        <f t="shared" si="14"/>
        <v>0</v>
      </c>
      <c r="N35" s="103">
        <f t="shared" si="15"/>
        <v>0</v>
      </c>
      <c r="O35" s="103">
        <f t="shared" si="8"/>
        <v>0</v>
      </c>
      <c r="P35" s="103">
        <f t="shared" si="9"/>
        <v>0</v>
      </c>
      <c r="Q35" s="103">
        <f t="shared" si="10"/>
        <v>0</v>
      </c>
      <c r="R35" s="103">
        <f t="shared" si="11"/>
        <v>0</v>
      </c>
      <c r="S35" s="103" t="str">
        <f t="shared" si="16"/>
        <v>kgCO2e/kilogramos</v>
      </c>
      <c r="T35" s="103">
        <f t="shared" si="17"/>
        <v>0.7</v>
      </c>
      <c r="U35" s="103" t="str">
        <f t="shared" si="18"/>
        <v>kgCO2e/kilogramos</v>
      </c>
      <c r="V35" s="402" t="s">
        <v>667</v>
      </c>
    </row>
    <row r="36" spans="2:22">
      <c r="B36" s="402" t="s">
        <v>132</v>
      </c>
      <c r="C36" s="402" t="s">
        <v>108</v>
      </c>
      <c r="D36" s="162">
        <f>'1.3 P.I. Hierro, Acero y Coque'!$N$10*1000/1000000</f>
        <v>6.9999999999999999E-4</v>
      </c>
      <c r="E36" s="103">
        <v>0</v>
      </c>
      <c r="F36" s="103">
        <v>0</v>
      </c>
      <c r="G36" s="103">
        <v>0</v>
      </c>
      <c r="H36" s="103">
        <v>0</v>
      </c>
      <c r="I36" s="103">
        <v>0</v>
      </c>
      <c r="J36" s="103">
        <v>0</v>
      </c>
      <c r="K36" s="103" t="str">
        <f t="shared" si="12"/>
        <v>kg GEI/gramos</v>
      </c>
      <c r="L36" s="329">
        <f t="shared" si="13"/>
        <v>6.9999999999999999E-4</v>
      </c>
      <c r="M36" s="103">
        <f t="shared" si="14"/>
        <v>0</v>
      </c>
      <c r="N36" s="103">
        <f t="shared" si="15"/>
        <v>0</v>
      </c>
      <c r="O36" s="103">
        <f t="shared" si="8"/>
        <v>0</v>
      </c>
      <c r="P36" s="103">
        <f t="shared" si="9"/>
        <v>0</v>
      </c>
      <c r="Q36" s="103">
        <f t="shared" si="10"/>
        <v>0</v>
      </c>
      <c r="R36" s="103">
        <f t="shared" si="11"/>
        <v>0</v>
      </c>
      <c r="S36" s="103" t="str">
        <f t="shared" si="16"/>
        <v>kgCO2e/gramos</v>
      </c>
      <c r="T36" s="328">
        <f t="shared" si="17"/>
        <v>6.9999999999999999E-4</v>
      </c>
      <c r="U36" s="103" t="str">
        <f t="shared" si="18"/>
        <v>kgCO2e/gramos</v>
      </c>
      <c r="V36" s="402" t="s">
        <v>667</v>
      </c>
    </row>
    <row r="37" spans="2:22">
      <c r="B37" s="72" t="s">
        <v>133</v>
      </c>
      <c r="C37" s="402" t="s">
        <v>106</v>
      </c>
      <c r="D37" s="102">
        <f>'1.3 P.I. Hierro, Acero y Coque'!$N$8*1000</f>
        <v>30</v>
      </c>
      <c r="E37" s="103">
        <v>0</v>
      </c>
      <c r="F37" s="103">
        <v>0</v>
      </c>
      <c r="G37" s="103">
        <v>0</v>
      </c>
      <c r="H37" s="103">
        <v>0</v>
      </c>
      <c r="I37" s="103">
        <v>0</v>
      </c>
      <c r="J37" s="103">
        <v>0</v>
      </c>
      <c r="K37" s="103" t="str">
        <f t="shared" si="12"/>
        <v>kg GEI/toneladas</v>
      </c>
      <c r="L37" s="103">
        <f t="shared" si="13"/>
        <v>30</v>
      </c>
      <c r="M37" s="103">
        <f t="shared" si="14"/>
        <v>0</v>
      </c>
      <c r="N37" s="103">
        <f t="shared" si="15"/>
        <v>0</v>
      </c>
      <c r="O37" s="103">
        <f t="shared" si="8"/>
        <v>0</v>
      </c>
      <c r="P37" s="103">
        <f t="shared" si="9"/>
        <v>0</v>
      </c>
      <c r="Q37" s="103">
        <f t="shared" si="10"/>
        <v>0</v>
      </c>
      <c r="R37" s="103">
        <f t="shared" si="11"/>
        <v>0</v>
      </c>
      <c r="S37" s="103" t="str">
        <f t="shared" si="16"/>
        <v>kgCO2e/toneladas</v>
      </c>
      <c r="T37" s="103">
        <f t="shared" si="17"/>
        <v>30</v>
      </c>
      <c r="U37" s="103" t="str">
        <f t="shared" si="18"/>
        <v>kgCO2e/toneladas</v>
      </c>
      <c r="V37" s="402" t="s">
        <v>667</v>
      </c>
    </row>
    <row r="38" spans="2:22">
      <c r="B38" s="72" t="s">
        <v>133</v>
      </c>
      <c r="C38" s="402" t="s">
        <v>107</v>
      </c>
      <c r="D38" s="104">
        <f>'1.3 P.I. Hierro, Acero y Coque'!$N$8*1000/1000</f>
        <v>0.03</v>
      </c>
      <c r="E38" s="103">
        <v>0</v>
      </c>
      <c r="F38" s="103">
        <v>0</v>
      </c>
      <c r="G38" s="103">
        <v>0</v>
      </c>
      <c r="H38" s="103">
        <v>0</v>
      </c>
      <c r="I38" s="103">
        <v>0</v>
      </c>
      <c r="J38" s="103">
        <v>0</v>
      </c>
      <c r="K38" s="103" t="str">
        <f t="shared" si="12"/>
        <v>kg GEI/kilogramos</v>
      </c>
      <c r="L38" s="328">
        <f t="shared" si="13"/>
        <v>0.03</v>
      </c>
      <c r="M38" s="103">
        <f t="shared" si="14"/>
        <v>0</v>
      </c>
      <c r="N38" s="103">
        <f t="shared" si="15"/>
        <v>0</v>
      </c>
      <c r="O38" s="103">
        <f t="shared" si="8"/>
        <v>0</v>
      </c>
      <c r="P38" s="103">
        <f t="shared" si="9"/>
        <v>0</v>
      </c>
      <c r="Q38" s="103">
        <f t="shared" si="10"/>
        <v>0</v>
      </c>
      <c r="R38" s="103">
        <f t="shared" si="11"/>
        <v>0</v>
      </c>
      <c r="S38" s="103" t="str">
        <f t="shared" si="16"/>
        <v>kgCO2e/kilogramos</v>
      </c>
      <c r="T38" s="103">
        <f t="shared" si="17"/>
        <v>0.03</v>
      </c>
      <c r="U38" s="103" t="str">
        <f t="shared" si="18"/>
        <v>kgCO2e/kilogramos</v>
      </c>
      <c r="V38" s="402" t="s">
        <v>667</v>
      </c>
    </row>
    <row r="39" spans="2:22">
      <c r="B39" s="72" t="s">
        <v>133</v>
      </c>
      <c r="C39" s="416" t="s">
        <v>108</v>
      </c>
      <c r="D39" s="162">
        <f>'1.3 P.I. Hierro, Acero y Coque'!$N$8*1000/1000000</f>
        <v>3.0000000000000001E-5</v>
      </c>
      <c r="E39" s="103">
        <v>0</v>
      </c>
      <c r="F39" s="103">
        <v>0</v>
      </c>
      <c r="G39" s="103">
        <v>0</v>
      </c>
      <c r="H39" s="103">
        <v>0</v>
      </c>
      <c r="I39" s="103">
        <v>0</v>
      </c>
      <c r="J39" s="103">
        <v>0</v>
      </c>
      <c r="K39" s="103" t="str">
        <f t="shared" si="12"/>
        <v>kg GEI/gramos</v>
      </c>
      <c r="L39" s="329">
        <f t="shared" si="13"/>
        <v>3.0000000000000001E-5</v>
      </c>
      <c r="M39" s="103">
        <f t="shared" si="14"/>
        <v>0</v>
      </c>
      <c r="N39" s="103">
        <f t="shared" si="15"/>
        <v>0</v>
      </c>
      <c r="O39" s="103">
        <f t="shared" si="8"/>
        <v>0</v>
      </c>
      <c r="P39" s="103">
        <f t="shared" si="9"/>
        <v>0</v>
      </c>
      <c r="Q39" s="103">
        <f t="shared" si="10"/>
        <v>0</v>
      </c>
      <c r="R39" s="103">
        <f t="shared" si="11"/>
        <v>0</v>
      </c>
      <c r="S39" s="103" t="str">
        <f t="shared" si="16"/>
        <v>kgCO2e/gramos</v>
      </c>
      <c r="T39" s="123">
        <f t="shared" si="17"/>
        <v>3.0000000000000001E-5</v>
      </c>
      <c r="U39" s="103" t="str">
        <f t="shared" si="18"/>
        <v>kgCO2e/gramos</v>
      </c>
      <c r="V39" s="402" t="s">
        <v>667</v>
      </c>
    </row>
    <row r="40" spans="2:22">
      <c r="B40" s="72" t="s">
        <v>134</v>
      </c>
      <c r="C40" s="408" t="s">
        <v>106</v>
      </c>
      <c r="D40" s="103">
        <f>'1.3 P.I. Hierro, Acero y Coque'!$N$6*1000</f>
        <v>1460</v>
      </c>
      <c r="E40" s="103">
        <v>0</v>
      </c>
      <c r="F40" s="103">
        <v>0</v>
      </c>
      <c r="G40" s="103">
        <v>0</v>
      </c>
      <c r="H40" s="103">
        <v>0</v>
      </c>
      <c r="I40" s="103">
        <v>0</v>
      </c>
      <c r="J40" s="103">
        <v>0</v>
      </c>
      <c r="K40" s="103" t="str">
        <f t="shared" si="12"/>
        <v>kg GEI/toneladas</v>
      </c>
      <c r="L40" s="103">
        <f t="shared" si="13"/>
        <v>1460</v>
      </c>
      <c r="M40" s="103">
        <f t="shared" si="14"/>
        <v>0</v>
      </c>
      <c r="N40" s="103">
        <f t="shared" si="15"/>
        <v>0</v>
      </c>
      <c r="O40" s="103">
        <f t="shared" si="8"/>
        <v>0</v>
      </c>
      <c r="P40" s="103">
        <f t="shared" si="9"/>
        <v>0</v>
      </c>
      <c r="Q40" s="103">
        <f t="shared" si="10"/>
        <v>0</v>
      </c>
      <c r="R40" s="103">
        <f t="shared" si="11"/>
        <v>0</v>
      </c>
      <c r="S40" s="103" t="str">
        <f t="shared" si="16"/>
        <v>kgCO2e/toneladas</v>
      </c>
      <c r="T40" s="103">
        <f t="shared" si="17"/>
        <v>1460</v>
      </c>
      <c r="U40" s="103" t="str">
        <f t="shared" si="18"/>
        <v>kgCO2e/toneladas</v>
      </c>
      <c r="V40" s="402" t="s">
        <v>667</v>
      </c>
    </row>
    <row r="41" spans="2:22">
      <c r="B41" s="72" t="s">
        <v>134</v>
      </c>
      <c r="C41" s="408" t="s">
        <v>107</v>
      </c>
      <c r="D41" s="103">
        <f>'1.3 P.I. Hierro, Acero y Coque'!$N$6*1000/1000</f>
        <v>1.46</v>
      </c>
      <c r="E41" s="103">
        <v>0</v>
      </c>
      <c r="F41" s="103">
        <v>0</v>
      </c>
      <c r="G41" s="103">
        <v>0</v>
      </c>
      <c r="H41" s="103">
        <v>0</v>
      </c>
      <c r="I41" s="103">
        <v>0</v>
      </c>
      <c r="J41" s="103">
        <v>0</v>
      </c>
      <c r="K41" s="103" t="str">
        <f t="shared" si="12"/>
        <v>kg GEI/kilogramos</v>
      </c>
      <c r="L41" s="328">
        <f t="shared" si="13"/>
        <v>1.46</v>
      </c>
      <c r="M41" s="103">
        <f t="shared" si="14"/>
        <v>0</v>
      </c>
      <c r="N41" s="103">
        <f t="shared" si="15"/>
        <v>0</v>
      </c>
      <c r="O41" s="103">
        <f t="shared" si="8"/>
        <v>0</v>
      </c>
      <c r="P41" s="103">
        <f t="shared" si="9"/>
        <v>0</v>
      </c>
      <c r="Q41" s="103">
        <f t="shared" si="10"/>
        <v>0</v>
      </c>
      <c r="R41" s="103">
        <f t="shared" si="11"/>
        <v>0</v>
      </c>
      <c r="S41" s="103" t="str">
        <f t="shared" si="16"/>
        <v>kgCO2e/kilogramos</v>
      </c>
      <c r="T41" s="328">
        <f t="shared" si="17"/>
        <v>1.46</v>
      </c>
      <c r="U41" s="103" t="str">
        <f t="shared" si="18"/>
        <v>kgCO2e/kilogramos</v>
      </c>
      <c r="V41" s="402" t="s">
        <v>667</v>
      </c>
    </row>
    <row r="42" spans="2:22">
      <c r="B42" s="72" t="s">
        <v>134</v>
      </c>
      <c r="C42" s="408" t="s">
        <v>108</v>
      </c>
      <c r="D42" s="123">
        <f>'1.3 P.I. Hierro, Acero y Coque'!$N$6*1000/1000000</f>
        <v>1.4599999999999999E-3</v>
      </c>
      <c r="E42" s="103">
        <v>0</v>
      </c>
      <c r="F42" s="103">
        <v>0</v>
      </c>
      <c r="G42" s="103">
        <v>0</v>
      </c>
      <c r="H42" s="103">
        <v>0</v>
      </c>
      <c r="I42" s="103">
        <v>0</v>
      </c>
      <c r="J42" s="103">
        <v>0</v>
      </c>
      <c r="K42" s="103" t="str">
        <f t="shared" si="12"/>
        <v>kg GEI/gramos</v>
      </c>
      <c r="L42" s="329">
        <f t="shared" si="13"/>
        <v>1.4599999999999999E-3</v>
      </c>
      <c r="M42" s="103">
        <f t="shared" si="14"/>
        <v>0</v>
      </c>
      <c r="N42" s="103">
        <f t="shared" si="15"/>
        <v>0</v>
      </c>
      <c r="O42" s="103">
        <f t="shared" si="8"/>
        <v>0</v>
      </c>
      <c r="P42" s="103">
        <f t="shared" si="9"/>
        <v>0</v>
      </c>
      <c r="Q42" s="103">
        <f t="shared" si="10"/>
        <v>0</v>
      </c>
      <c r="R42" s="103">
        <f t="shared" si="11"/>
        <v>0</v>
      </c>
      <c r="S42" s="103" t="str">
        <f t="shared" si="16"/>
        <v>kgCO2e/gramos</v>
      </c>
      <c r="T42" s="123">
        <f t="shared" si="17"/>
        <v>1.4599999999999999E-3</v>
      </c>
      <c r="U42" s="103" t="str">
        <f t="shared" si="18"/>
        <v>kgCO2e/gramos</v>
      </c>
      <c r="V42" s="402" t="s">
        <v>667</v>
      </c>
    </row>
    <row r="43" spans="2:22">
      <c r="B43" s="72" t="s">
        <v>135</v>
      </c>
      <c r="C43" s="408" t="s">
        <v>106</v>
      </c>
      <c r="D43" s="123">
        <f>'1.3 P.I. Hierro, Acero y Coque'!$N$7*1000</f>
        <v>80</v>
      </c>
      <c r="E43" s="103">
        <v>0</v>
      </c>
      <c r="F43" s="103">
        <v>0</v>
      </c>
      <c r="G43" s="103">
        <v>0</v>
      </c>
      <c r="H43" s="103">
        <v>0</v>
      </c>
      <c r="I43" s="103">
        <v>0</v>
      </c>
      <c r="J43" s="103">
        <v>0</v>
      </c>
      <c r="K43" s="103" t="str">
        <f t="shared" ref="K43:K45" si="19">"kg GEI/"&amp;C43</f>
        <v>kg GEI/toneladas</v>
      </c>
      <c r="L43" s="329">
        <f t="shared" ref="L43:L45" si="20">D43*$C$3</f>
        <v>80</v>
      </c>
      <c r="M43" s="103">
        <f t="shared" si="14"/>
        <v>0</v>
      </c>
      <c r="N43" s="103">
        <f t="shared" si="15"/>
        <v>0</v>
      </c>
      <c r="O43" s="103">
        <f t="shared" ref="O43:O45" si="21">G43*$C$3</f>
        <v>0</v>
      </c>
      <c r="P43" s="103">
        <f t="shared" ref="P43:P45" si="22">H43*$C$3</f>
        <v>0</v>
      </c>
      <c r="Q43" s="103">
        <f t="shared" ref="Q43:Q45" si="23">I43*$C$3</f>
        <v>0</v>
      </c>
      <c r="R43" s="103">
        <f t="shared" ref="R43:R45" si="24">J43*$C$3</f>
        <v>0</v>
      </c>
      <c r="S43" s="103" t="str">
        <f t="shared" si="16"/>
        <v>kgCO2e/toneladas</v>
      </c>
      <c r="T43" s="103">
        <f t="shared" ref="T43:T45" si="25">SUM(L43:R43)</f>
        <v>80</v>
      </c>
      <c r="U43" s="103" t="str">
        <f t="shared" ref="U43:U45" si="26">S43</f>
        <v>kgCO2e/toneladas</v>
      </c>
      <c r="V43" s="72" t="s">
        <v>667</v>
      </c>
    </row>
    <row r="44" spans="2:22">
      <c r="B44" s="72" t="s">
        <v>135</v>
      </c>
      <c r="C44" s="408" t="s">
        <v>107</v>
      </c>
      <c r="D44" s="123">
        <f>'1.3 P.I. Hierro, Acero y Coque'!$N$7*1000/1000</f>
        <v>0.08</v>
      </c>
      <c r="E44" s="103">
        <v>0</v>
      </c>
      <c r="F44" s="103">
        <v>0</v>
      </c>
      <c r="G44" s="103">
        <v>0</v>
      </c>
      <c r="H44" s="103">
        <v>0</v>
      </c>
      <c r="I44" s="103">
        <v>0</v>
      </c>
      <c r="J44" s="103">
        <v>0</v>
      </c>
      <c r="K44" s="103" t="str">
        <f t="shared" si="19"/>
        <v>kg GEI/kilogramos</v>
      </c>
      <c r="L44" s="329">
        <f t="shared" si="20"/>
        <v>0.08</v>
      </c>
      <c r="M44" s="103">
        <f t="shared" si="14"/>
        <v>0</v>
      </c>
      <c r="N44" s="103">
        <f t="shared" si="15"/>
        <v>0</v>
      </c>
      <c r="O44" s="103">
        <f t="shared" si="21"/>
        <v>0</v>
      </c>
      <c r="P44" s="103">
        <f t="shared" si="22"/>
        <v>0</v>
      </c>
      <c r="Q44" s="103">
        <f t="shared" si="23"/>
        <v>0</v>
      </c>
      <c r="R44" s="103">
        <f t="shared" si="24"/>
        <v>0</v>
      </c>
      <c r="S44" s="103" t="str">
        <f t="shared" si="16"/>
        <v>kgCO2e/kilogramos</v>
      </c>
      <c r="T44" s="103">
        <f t="shared" si="25"/>
        <v>0.08</v>
      </c>
      <c r="U44" s="103" t="str">
        <f t="shared" si="26"/>
        <v>kgCO2e/kilogramos</v>
      </c>
      <c r="V44" s="72" t="s">
        <v>667</v>
      </c>
    </row>
    <row r="45" spans="2:22">
      <c r="B45" s="72" t="s">
        <v>135</v>
      </c>
      <c r="C45" s="408" t="s">
        <v>108</v>
      </c>
      <c r="D45" s="123">
        <f>'1.3 P.I. Hierro, Acero y Coque'!$N$7*1000/1000000</f>
        <v>8.0000000000000007E-5</v>
      </c>
      <c r="E45" s="103">
        <v>0</v>
      </c>
      <c r="F45" s="103">
        <v>0</v>
      </c>
      <c r="G45" s="103">
        <v>0</v>
      </c>
      <c r="H45" s="103">
        <v>0</v>
      </c>
      <c r="I45" s="103">
        <v>0</v>
      </c>
      <c r="J45" s="103">
        <v>0</v>
      </c>
      <c r="K45" s="103" t="str">
        <f t="shared" si="19"/>
        <v>kg GEI/gramos</v>
      </c>
      <c r="L45" s="329">
        <f t="shared" si="20"/>
        <v>8.0000000000000007E-5</v>
      </c>
      <c r="M45" s="103">
        <f t="shared" si="14"/>
        <v>0</v>
      </c>
      <c r="N45" s="103">
        <f t="shared" si="15"/>
        <v>0</v>
      </c>
      <c r="O45" s="103">
        <f t="shared" si="21"/>
        <v>0</v>
      </c>
      <c r="P45" s="103">
        <f t="shared" si="22"/>
        <v>0</v>
      </c>
      <c r="Q45" s="103">
        <f t="shared" si="23"/>
        <v>0</v>
      </c>
      <c r="R45" s="103">
        <f t="shared" si="24"/>
        <v>0</v>
      </c>
      <c r="S45" s="103" t="str">
        <f t="shared" si="16"/>
        <v>kgCO2e/gramos</v>
      </c>
      <c r="T45" s="123">
        <f t="shared" si="25"/>
        <v>8.0000000000000007E-5</v>
      </c>
      <c r="U45" s="103" t="str">
        <f t="shared" si="26"/>
        <v>kgCO2e/gramos</v>
      </c>
      <c r="V45" s="72" t="s">
        <v>667</v>
      </c>
    </row>
    <row r="48" spans="2:22">
      <c r="B48" s="1" t="s">
        <v>358</v>
      </c>
    </row>
    <row r="49" spans="2:22">
      <c r="B49" s="1" t="s">
        <v>651</v>
      </c>
    </row>
    <row r="50" spans="2:22">
      <c r="B50" s="1" t="s">
        <v>136</v>
      </c>
    </row>
    <row r="52" spans="2:22" ht="30" customHeight="1">
      <c r="B52" s="71" t="s">
        <v>362</v>
      </c>
      <c r="C52" s="71" t="s">
        <v>93</v>
      </c>
      <c r="D52" s="420" t="s">
        <v>652</v>
      </c>
      <c r="E52" s="420" t="s">
        <v>653</v>
      </c>
      <c r="F52" s="420" t="s">
        <v>654</v>
      </c>
      <c r="G52" s="420" t="s">
        <v>655</v>
      </c>
      <c r="H52" s="420" t="s">
        <v>656</v>
      </c>
      <c r="I52" s="420" t="s">
        <v>657</v>
      </c>
      <c r="J52" s="420" t="s">
        <v>658</v>
      </c>
      <c r="K52" s="420" t="s">
        <v>345</v>
      </c>
      <c r="L52" s="420" t="s">
        <v>659</v>
      </c>
      <c r="M52" s="420" t="s">
        <v>660</v>
      </c>
      <c r="N52" s="420" t="s">
        <v>661</v>
      </c>
      <c r="O52" s="420" t="s">
        <v>662</v>
      </c>
      <c r="P52" s="420" t="s">
        <v>663</v>
      </c>
      <c r="Q52" s="420" t="s">
        <v>664</v>
      </c>
      <c r="R52" s="420" t="s">
        <v>665</v>
      </c>
      <c r="S52" s="420" t="s">
        <v>345</v>
      </c>
      <c r="T52" s="420" t="s">
        <v>666</v>
      </c>
      <c r="U52" s="420" t="s">
        <v>345</v>
      </c>
      <c r="V52" s="410" t="s">
        <v>346</v>
      </c>
    </row>
    <row r="53" spans="2:22">
      <c r="B53" s="402" t="s">
        <v>137</v>
      </c>
      <c r="C53" s="402" t="s">
        <v>131</v>
      </c>
      <c r="D53" s="102">
        <v>0</v>
      </c>
      <c r="E53" s="103">
        <v>0</v>
      </c>
      <c r="F53" s="103">
        <f>'1.3 P.I. Ácido Nítrico'!$C$12*1000</f>
        <v>2.2000000000000002</v>
      </c>
      <c r="G53" s="103">
        <v>0</v>
      </c>
      <c r="H53" s="103">
        <v>0</v>
      </c>
      <c r="I53" s="103">
        <v>0</v>
      </c>
      <c r="J53" s="103">
        <v>0</v>
      </c>
      <c r="K53" s="103" t="str">
        <f>"kg GEI/"&amp;C53</f>
        <v>kg GEI/tonelada</v>
      </c>
      <c r="L53" s="103">
        <f>D53*$C$3</f>
        <v>0</v>
      </c>
      <c r="M53" s="103">
        <f>E53*$C$4</f>
        <v>0</v>
      </c>
      <c r="N53" s="103">
        <f>F53*$C$5</f>
        <v>583</v>
      </c>
      <c r="O53" s="103">
        <f t="shared" ref="O53:O67" si="27">G53*$C$3</f>
        <v>0</v>
      </c>
      <c r="P53" s="103">
        <f t="shared" ref="P53:P67" si="28">H53*$C$3</f>
        <v>0</v>
      </c>
      <c r="Q53" s="103">
        <f t="shared" ref="Q53:Q67" si="29">I53*$C$3</f>
        <v>0</v>
      </c>
      <c r="R53" s="103">
        <f t="shared" ref="R53:R67" si="30">J53*$C$3</f>
        <v>0</v>
      </c>
      <c r="S53" s="103" t="str">
        <f>"kgCO2e/"&amp;C53</f>
        <v>kgCO2e/tonelada</v>
      </c>
      <c r="T53" s="103">
        <f>SUM(L53:R53)</f>
        <v>583</v>
      </c>
      <c r="U53" s="103" t="str">
        <f>S53</f>
        <v>kgCO2e/tonelada</v>
      </c>
      <c r="V53" s="402" t="s">
        <v>667</v>
      </c>
    </row>
    <row r="54" spans="2:22">
      <c r="B54" s="402" t="s">
        <v>137</v>
      </c>
      <c r="C54" s="402" t="s">
        <v>107</v>
      </c>
      <c r="D54" s="104">
        <v>0</v>
      </c>
      <c r="E54" s="103">
        <v>0</v>
      </c>
      <c r="F54" s="103">
        <f>'1.3 P.I. Ácido Nítrico'!$C$12*1000/1000</f>
        <v>2.2000000000000001E-3</v>
      </c>
      <c r="G54" s="103">
        <v>0</v>
      </c>
      <c r="H54" s="103">
        <v>0</v>
      </c>
      <c r="I54" s="103">
        <v>0</v>
      </c>
      <c r="J54" s="103">
        <v>0</v>
      </c>
      <c r="K54" s="103" t="str">
        <f t="shared" ref="K54:K67" si="31">"kg GEI/"&amp;C54</f>
        <v>kg GEI/kilogramos</v>
      </c>
      <c r="L54" s="328">
        <f t="shared" ref="L54:L67" si="32">D54*$C$3</f>
        <v>0</v>
      </c>
      <c r="M54" s="103">
        <f t="shared" ref="M54:M67" si="33">E54*$C$4</f>
        <v>0</v>
      </c>
      <c r="N54" s="103">
        <f t="shared" ref="N54:N67" si="34">F54*$C$5</f>
        <v>0.58300000000000007</v>
      </c>
      <c r="O54" s="103">
        <f t="shared" si="27"/>
        <v>0</v>
      </c>
      <c r="P54" s="103">
        <f t="shared" si="28"/>
        <v>0</v>
      </c>
      <c r="Q54" s="103">
        <f t="shared" si="29"/>
        <v>0</v>
      </c>
      <c r="R54" s="103">
        <f t="shared" si="30"/>
        <v>0</v>
      </c>
      <c r="S54" s="103" t="str">
        <f t="shared" ref="S54:S67" si="35">"kgCO2e/"&amp;C54</f>
        <v>kgCO2e/kilogramos</v>
      </c>
      <c r="T54" s="328">
        <f t="shared" ref="T54:T67" si="36">SUM(L54:R54)</f>
        <v>0.58300000000000007</v>
      </c>
      <c r="U54" s="103" t="str">
        <f t="shared" ref="U54:U67" si="37">S54</f>
        <v>kgCO2e/kilogramos</v>
      </c>
      <c r="V54" s="402" t="s">
        <v>667</v>
      </c>
    </row>
    <row r="55" spans="2:22">
      <c r="B55" s="402" t="s">
        <v>137</v>
      </c>
      <c r="C55" s="402" t="s">
        <v>108</v>
      </c>
      <c r="D55" s="162">
        <v>0</v>
      </c>
      <c r="E55" s="103">
        <v>0</v>
      </c>
      <c r="F55" s="103">
        <f>'1.3 P.I. Ácido Nítrico'!$C$12*1000/1000000</f>
        <v>2.2000000000000001E-6</v>
      </c>
      <c r="G55" s="103">
        <v>0</v>
      </c>
      <c r="H55" s="103">
        <v>0</v>
      </c>
      <c r="I55" s="103">
        <v>0</v>
      </c>
      <c r="J55" s="103">
        <v>0</v>
      </c>
      <c r="K55" s="103" t="str">
        <f t="shared" si="31"/>
        <v>kg GEI/gramos</v>
      </c>
      <c r="L55" s="329">
        <f t="shared" si="32"/>
        <v>0</v>
      </c>
      <c r="M55" s="103">
        <f t="shared" si="33"/>
        <v>0</v>
      </c>
      <c r="N55" s="103">
        <f t="shared" si="34"/>
        <v>5.8300000000000008E-4</v>
      </c>
      <c r="O55" s="103">
        <f t="shared" si="27"/>
        <v>0</v>
      </c>
      <c r="P55" s="103">
        <f t="shared" si="28"/>
        <v>0</v>
      </c>
      <c r="Q55" s="103">
        <f t="shared" si="29"/>
        <v>0</v>
      </c>
      <c r="R55" s="103">
        <f t="shared" si="30"/>
        <v>0</v>
      </c>
      <c r="S55" s="103" t="str">
        <f t="shared" si="35"/>
        <v>kgCO2e/gramos</v>
      </c>
      <c r="T55" s="329">
        <f t="shared" si="36"/>
        <v>5.8300000000000008E-4</v>
      </c>
      <c r="U55" s="103" t="str">
        <f t="shared" si="37"/>
        <v>kgCO2e/gramos</v>
      </c>
      <c r="V55" s="402" t="s">
        <v>667</v>
      </c>
    </row>
    <row r="56" spans="2:22">
      <c r="B56" s="402" t="s">
        <v>138</v>
      </c>
      <c r="C56" s="402" t="s">
        <v>106</v>
      </c>
      <c r="D56" s="102">
        <v>0</v>
      </c>
      <c r="E56" s="103">
        <v>0</v>
      </c>
      <c r="F56" s="103">
        <f>'1.3 P.I. Ácido Nítrico'!$C$13*1000</f>
        <v>2.75</v>
      </c>
      <c r="G56" s="103">
        <v>0</v>
      </c>
      <c r="H56" s="103">
        <v>0</v>
      </c>
      <c r="I56" s="103">
        <v>0</v>
      </c>
      <c r="J56" s="103">
        <v>0</v>
      </c>
      <c r="K56" s="103" t="str">
        <f t="shared" si="31"/>
        <v>kg GEI/toneladas</v>
      </c>
      <c r="L56" s="103">
        <f t="shared" si="32"/>
        <v>0</v>
      </c>
      <c r="M56" s="103">
        <f t="shared" si="33"/>
        <v>0</v>
      </c>
      <c r="N56" s="103">
        <f t="shared" si="34"/>
        <v>728.75</v>
      </c>
      <c r="O56" s="103">
        <f t="shared" si="27"/>
        <v>0</v>
      </c>
      <c r="P56" s="103">
        <f t="shared" si="28"/>
        <v>0</v>
      </c>
      <c r="Q56" s="103">
        <f t="shared" si="29"/>
        <v>0</v>
      </c>
      <c r="R56" s="103">
        <f t="shared" si="30"/>
        <v>0</v>
      </c>
      <c r="S56" s="103" t="str">
        <f t="shared" si="35"/>
        <v>kgCO2e/toneladas</v>
      </c>
      <c r="T56" s="103">
        <f t="shared" si="36"/>
        <v>728.75</v>
      </c>
      <c r="U56" s="103" t="str">
        <f t="shared" si="37"/>
        <v>kgCO2e/toneladas</v>
      </c>
      <c r="V56" s="402" t="s">
        <v>667</v>
      </c>
    </row>
    <row r="57" spans="2:22">
      <c r="B57" s="402" t="s">
        <v>138</v>
      </c>
      <c r="C57" s="402" t="s">
        <v>107</v>
      </c>
      <c r="D57" s="104">
        <v>0</v>
      </c>
      <c r="E57" s="103">
        <v>0</v>
      </c>
      <c r="F57" s="103">
        <f>'1.3 P.I. Ácido Nítrico'!$C$13*1000/1000</f>
        <v>2.7499999999999998E-3</v>
      </c>
      <c r="G57" s="103">
        <v>0</v>
      </c>
      <c r="H57" s="103">
        <v>0</v>
      </c>
      <c r="I57" s="103">
        <v>0</v>
      </c>
      <c r="J57" s="103">
        <v>0</v>
      </c>
      <c r="K57" s="103" t="str">
        <f>"kg GEI/"&amp;C57</f>
        <v>kg GEI/kilogramos</v>
      </c>
      <c r="L57" s="328">
        <f t="shared" si="32"/>
        <v>0</v>
      </c>
      <c r="M57" s="103">
        <f t="shared" si="33"/>
        <v>0</v>
      </c>
      <c r="N57" s="103">
        <f t="shared" si="34"/>
        <v>0.72875000000000001</v>
      </c>
      <c r="O57" s="103">
        <f t="shared" si="27"/>
        <v>0</v>
      </c>
      <c r="P57" s="103">
        <f t="shared" si="28"/>
        <v>0</v>
      </c>
      <c r="Q57" s="103">
        <f t="shared" si="29"/>
        <v>0</v>
      </c>
      <c r="R57" s="103">
        <f t="shared" si="30"/>
        <v>0</v>
      </c>
      <c r="S57" s="103" t="str">
        <f t="shared" si="35"/>
        <v>kgCO2e/kilogramos</v>
      </c>
      <c r="T57" s="328">
        <f t="shared" si="36"/>
        <v>0.72875000000000001</v>
      </c>
      <c r="U57" s="103" t="str">
        <f t="shared" si="37"/>
        <v>kgCO2e/kilogramos</v>
      </c>
      <c r="V57" s="402" t="s">
        <v>667</v>
      </c>
    </row>
    <row r="58" spans="2:22">
      <c r="B58" s="402" t="s">
        <v>138</v>
      </c>
      <c r="C58" s="402" t="s">
        <v>108</v>
      </c>
      <c r="D58" s="162">
        <v>0</v>
      </c>
      <c r="E58" s="103">
        <v>0</v>
      </c>
      <c r="F58" s="103">
        <f>'1.3 P.I. Ácido Nítrico'!$C$13*1000/1000000</f>
        <v>2.7499999999999999E-6</v>
      </c>
      <c r="G58" s="103">
        <v>0</v>
      </c>
      <c r="H58" s="103">
        <v>0</v>
      </c>
      <c r="I58" s="103">
        <v>0</v>
      </c>
      <c r="J58" s="103">
        <v>0</v>
      </c>
      <c r="K58" s="103" t="str">
        <f t="shared" si="31"/>
        <v>kg GEI/gramos</v>
      </c>
      <c r="L58" s="329">
        <f t="shared" si="32"/>
        <v>0</v>
      </c>
      <c r="M58" s="103">
        <f t="shared" si="33"/>
        <v>0</v>
      </c>
      <c r="N58" s="103">
        <f t="shared" si="34"/>
        <v>7.2875000000000001E-4</v>
      </c>
      <c r="O58" s="103">
        <f t="shared" si="27"/>
        <v>0</v>
      </c>
      <c r="P58" s="103">
        <f t="shared" si="28"/>
        <v>0</v>
      </c>
      <c r="Q58" s="103">
        <f t="shared" si="29"/>
        <v>0</v>
      </c>
      <c r="R58" s="103">
        <f t="shared" si="30"/>
        <v>0</v>
      </c>
      <c r="S58" s="103" t="str">
        <f t="shared" si="35"/>
        <v>kgCO2e/gramos</v>
      </c>
      <c r="T58" s="329">
        <f t="shared" si="36"/>
        <v>7.2875000000000001E-4</v>
      </c>
      <c r="U58" s="103" t="str">
        <f t="shared" si="37"/>
        <v>kgCO2e/gramos</v>
      </c>
      <c r="V58" s="402" t="s">
        <v>667</v>
      </c>
    </row>
    <row r="59" spans="2:22">
      <c r="B59" s="72" t="s">
        <v>139</v>
      </c>
      <c r="C59" s="402" t="s">
        <v>106</v>
      </c>
      <c r="D59" s="102">
        <v>0</v>
      </c>
      <c r="E59" s="103">
        <v>0</v>
      </c>
      <c r="F59" s="103">
        <f>'1.3 P.I. Ácido Nítrico'!$C$14*1000</f>
        <v>5.5</v>
      </c>
      <c r="G59" s="103">
        <v>0</v>
      </c>
      <c r="H59" s="103">
        <v>0</v>
      </c>
      <c r="I59" s="103">
        <v>0</v>
      </c>
      <c r="J59" s="103">
        <v>0</v>
      </c>
      <c r="K59" s="103" t="str">
        <f t="shared" si="31"/>
        <v>kg GEI/toneladas</v>
      </c>
      <c r="L59" s="103">
        <f t="shared" si="32"/>
        <v>0</v>
      </c>
      <c r="M59" s="103">
        <f t="shared" si="33"/>
        <v>0</v>
      </c>
      <c r="N59" s="103">
        <f t="shared" si="34"/>
        <v>1457.5</v>
      </c>
      <c r="O59" s="103">
        <f t="shared" si="27"/>
        <v>0</v>
      </c>
      <c r="P59" s="103">
        <f t="shared" si="28"/>
        <v>0</v>
      </c>
      <c r="Q59" s="103">
        <f t="shared" si="29"/>
        <v>0</v>
      </c>
      <c r="R59" s="103">
        <f t="shared" si="30"/>
        <v>0</v>
      </c>
      <c r="S59" s="103" t="str">
        <f t="shared" si="35"/>
        <v>kgCO2e/toneladas</v>
      </c>
      <c r="T59" s="103">
        <f t="shared" si="36"/>
        <v>1457.5</v>
      </c>
      <c r="U59" s="103" t="str">
        <f t="shared" si="37"/>
        <v>kgCO2e/toneladas</v>
      </c>
      <c r="V59" s="402" t="s">
        <v>667</v>
      </c>
    </row>
    <row r="60" spans="2:22">
      <c r="B60" s="72" t="s">
        <v>139</v>
      </c>
      <c r="C60" s="402" t="s">
        <v>107</v>
      </c>
      <c r="D60" s="104">
        <v>0</v>
      </c>
      <c r="E60" s="103">
        <v>0</v>
      </c>
      <c r="F60" s="103">
        <f>'1.3 P.I. Ácido Nítrico'!$C$14*1000/1000</f>
        <v>5.4999999999999997E-3</v>
      </c>
      <c r="G60" s="103">
        <v>0</v>
      </c>
      <c r="H60" s="103">
        <v>0</v>
      </c>
      <c r="I60" s="103">
        <v>0</v>
      </c>
      <c r="J60" s="103">
        <v>0</v>
      </c>
      <c r="K60" s="103" t="str">
        <f t="shared" si="31"/>
        <v>kg GEI/kilogramos</v>
      </c>
      <c r="L60" s="328">
        <f t="shared" si="32"/>
        <v>0</v>
      </c>
      <c r="M60" s="103">
        <f t="shared" si="33"/>
        <v>0</v>
      </c>
      <c r="N60" s="103">
        <f t="shared" si="34"/>
        <v>1.4575</v>
      </c>
      <c r="O60" s="103">
        <f t="shared" si="27"/>
        <v>0</v>
      </c>
      <c r="P60" s="103">
        <f t="shared" si="28"/>
        <v>0</v>
      </c>
      <c r="Q60" s="103">
        <f t="shared" si="29"/>
        <v>0</v>
      </c>
      <c r="R60" s="103">
        <f t="shared" si="30"/>
        <v>0</v>
      </c>
      <c r="S60" s="103" t="str">
        <f t="shared" si="35"/>
        <v>kgCO2e/kilogramos</v>
      </c>
      <c r="T60" s="328">
        <f t="shared" si="36"/>
        <v>1.4575</v>
      </c>
      <c r="U60" s="103" t="str">
        <f t="shared" si="37"/>
        <v>kgCO2e/kilogramos</v>
      </c>
      <c r="V60" s="402" t="s">
        <v>667</v>
      </c>
    </row>
    <row r="61" spans="2:22">
      <c r="B61" s="72" t="s">
        <v>139</v>
      </c>
      <c r="C61" s="416" t="s">
        <v>108</v>
      </c>
      <c r="D61" s="162">
        <v>0</v>
      </c>
      <c r="E61" s="103">
        <v>0</v>
      </c>
      <c r="F61" s="103">
        <f>'1.3 P.I. Ácido Nítrico'!$C$14*1000/1000000</f>
        <v>5.4999999999999999E-6</v>
      </c>
      <c r="G61" s="103">
        <v>0</v>
      </c>
      <c r="H61" s="103">
        <v>0</v>
      </c>
      <c r="I61" s="103">
        <v>0</v>
      </c>
      <c r="J61" s="103">
        <v>0</v>
      </c>
      <c r="K61" s="103" t="str">
        <f t="shared" si="31"/>
        <v>kg GEI/gramos</v>
      </c>
      <c r="L61" s="329">
        <f t="shared" si="32"/>
        <v>0</v>
      </c>
      <c r="M61" s="103">
        <f t="shared" si="33"/>
        <v>0</v>
      </c>
      <c r="N61" s="103">
        <f t="shared" si="34"/>
        <v>1.4575E-3</v>
      </c>
      <c r="O61" s="103">
        <f t="shared" si="27"/>
        <v>0</v>
      </c>
      <c r="P61" s="103">
        <f t="shared" si="28"/>
        <v>0</v>
      </c>
      <c r="Q61" s="103">
        <f t="shared" si="29"/>
        <v>0</v>
      </c>
      <c r="R61" s="103">
        <f t="shared" si="30"/>
        <v>0</v>
      </c>
      <c r="S61" s="103" t="str">
        <f t="shared" si="35"/>
        <v>kgCO2e/gramos</v>
      </c>
      <c r="T61" s="329">
        <f t="shared" si="36"/>
        <v>1.4575E-3</v>
      </c>
      <c r="U61" s="103" t="str">
        <f t="shared" si="37"/>
        <v>kgCO2e/gramos</v>
      </c>
      <c r="V61" s="402" t="s">
        <v>667</v>
      </c>
    </row>
    <row r="62" spans="2:22">
      <c r="B62" s="72" t="s">
        <v>140</v>
      </c>
      <c r="C62" s="408" t="s">
        <v>106</v>
      </c>
      <c r="D62" s="103">
        <v>0</v>
      </c>
      <c r="E62" s="103">
        <v>0</v>
      </c>
      <c r="F62" s="103">
        <f>'1.3 P.I. Ácido Nítrico'!$C$15*1000</f>
        <v>7.7000000000000011</v>
      </c>
      <c r="G62" s="103">
        <v>0</v>
      </c>
      <c r="H62" s="103">
        <v>0</v>
      </c>
      <c r="I62" s="103">
        <v>0</v>
      </c>
      <c r="J62" s="103">
        <v>0</v>
      </c>
      <c r="K62" s="103" t="str">
        <f t="shared" si="31"/>
        <v>kg GEI/toneladas</v>
      </c>
      <c r="L62" s="103">
        <f t="shared" si="32"/>
        <v>0</v>
      </c>
      <c r="M62" s="103">
        <f t="shared" si="33"/>
        <v>0</v>
      </c>
      <c r="N62" s="103">
        <f t="shared" si="34"/>
        <v>2040.5000000000002</v>
      </c>
      <c r="O62" s="103">
        <f t="shared" si="27"/>
        <v>0</v>
      </c>
      <c r="P62" s="103">
        <f t="shared" si="28"/>
        <v>0</v>
      </c>
      <c r="Q62" s="103">
        <f t="shared" si="29"/>
        <v>0</v>
      </c>
      <c r="R62" s="103">
        <f t="shared" si="30"/>
        <v>0</v>
      </c>
      <c r="S62" s="103" t="str">
        <f t="shared" si="35"/>
        <v>kgCO2e/toneladas</v>
      </c>
      <c r="T62" s="103">
        <f t="shared" si="36"/>
        <v>2040.5000000000002</v>
      </c>
      <c r="U62" s="103" t="str">
        <f t="shared" si="37"/>
        <v>kgCO2e/toneladas</v>
      </c>
      <c r="V62" s="402" t="s">
        <v>667</v>
      </c>
    </row>
    <row r="63" spans="2:22">
      <c r="B63" s="72" t="s">
        <v>140</v>
      </c>
      <c r="C63" s="408" t="s">
        <v>107</v>
      </c>
      <c r="D63" s="103">
        <v>0</v>
      </c>
      <c r="E63" s="103">
        <v>0</v>
      </c>
      <c r="F63" s="103">
        <f>'1.3 P.I. Ácido Nítrico'!$C$15*1000/1000</f>
        <v>7.7000000000000011E-3</v>
      </c>
      <c r="G63" s="103">
        <v>0</v>
      </c>
      <c r="H63" s="103">
        <v>0</v>
      </c>
      <c r="I63" s="103">
        <v>0</v>
      </c>
      <c r="J63" s="103">
        <v>0</v>
      </c>
      <c r="K63" s="103" t="str">
        <f t="shared" si="31"/>
        <v>kg GEI/kilogramos</v>
      </c>
      <c r="L63" s="328">
        <f t="shared" si="32"/>
        <v>0</v>
      </c>
      <c r="M63" s="103">
        <f t="shared" si="33"/>
        <v>0</v>
      </c>
      <c r="N63" s="103">
        <f t="shared" si="34"/>
        <v>2.0405000000000002</v>
      </c>
      <c r="O63" s="103">
        <f t="shared" si="27"/>
        <v>0</v>
      </c>
      <c r="P63" s="103">
        <f t="shared" si="28"/>
        <v>0</v>
      </c>
      <c r="Q63" s="103">
        <f t="shared" si="29"/>
        <v>0</v>
      </c>
      <c r="R63" s="103">
        <f t="shared" si="30"/>
        <v>0</v>
      </c>
      <c r="S63" s="103" t="str">
        <f t="shared" si="35"/>
        <v>kgCO2e/kilogramos</v>
      </c>
      <c r="T63" s="328">
        <f t="shared" si="36"/>
        <v>2.0405000000000002</v>
      </c>
      <c r="U63" s="103" t="str">
        <f t="shared" si="37"/>
        <v>kgCO2e/kilogramos</v>
      </c>
      <c r="V63" s="402" t="s">
        <v>667</v>
      </c>
    </row>
    <row r="64" spans="2:22">
      <c r="B64" s="72" t="s">
        <v>140</v>
      </c>
      <c r="C64" s="408" t="s">
        <v>108</v>
      </c>
      <c r="D64" s="123">
        <v>0</v>
      </c>
      <c r="E64" s="103">
        <v>0</v>
      </c>
      <c r="F64" s="103">
        <f>'1.3 P.I. Ácido Nítrico'!$C$15*1000/1000000</f>
        <v>7.7000000000000008E-6</v>
      </c>
      <c r="G64" s="103">
        <v>0</v>
      </c>
      <c r="H64" s="103">
        <v>0</v>
      </c>
      <c r="I64" s="103">
        <v>0</v>
      </c>
      <c r="J64" s="103">
        <v>0</v>
      </c>
      <c r="K64" s="103" t="str">
        <f t="shared" si="31"/>
        <v>kg GEI/gramos</v>
      </c>
      <c r="L64" s="329">
        <f t="shared" si="32"/>
        <v>0</v>
      </c>
      <c r="M64" s="103">
        <f t="shared" si="33"/>
        <v>0</v>
      </c>
      <c r="N64" s="103">
        <f t="shared" si="34"/>
        <v>2.0405000000000002E-3</v>
      </c>
      <c r="O64" s="103">
        <f t="shared" si="27"/>
        <v>0</v>
      </c>
      <c r="P64" s="103">
        <f t="shared" si="28"/>
        <v>0</v>
      </c>
      <c r="Q64" s="103">
        <f t="shared" si="29"/>
        <v>0</v>
      </c>
      <c r="R64" s="103">
        <f t="shared" si="30"/>
        <v>0</v>
      </c>
      <c r="S64" s="103" t="str">
        <f t="shared" si="35"/>
        <v>kgCO2e/gramos</v>
      </c>
      <c r="T64" s="329">
        <f t="shared" si="36"/>
        <v>2.0405000000000002E-3</v>
      </c>
      <c r="U64" s="103" t="str">
        <f t="shared" si="37"/>
        <v>kgCO2e/gramos</v>
      </c>
      <c r="V64" s="402" t="s">
        <v>667</v>
      </c>
    </row>
    <row r="65" spans="2:22">
      <c r="B65" s="72" t="s">
        <v>141</v>
      </c>
      <c r="C65" s="408" t="s">
        <v>106</v>
      </c>
      <c r="D65" s="123">
        <v>0</v>
      </c>
      <c r="E65" s="103">
        <v>0</v>
      </c>
      <c r="F65" s="103">
        <f>'1.3 P.I. Ácido Nítrico'!$C$16*1000</f>
        <v>9.9</v>
      </c>
      <c r="G65" s="103">
        <v>0</v>
      </c>
      <c r="H65" s="103">
        <v>0</v>
      </c>
      <c r="I65" s="103">
        <v>0</v>
      </c>
      <c r="J65" s="103">
        <v>0</v>
      </c>
      <c r="K65" s="103" t="str">
        <f t="shared" si="31"/>
        <v>kg GEI/toneladas</v>
      </c>
      <c r="L65" s="329">
        <f t="shared" si="32"/>
        <v>0</v>
      </c>
      <c r="M65" s="103">
        <f t="shared" si="33"/>
        <v>0</v>
      </c>
      <c r="N65" s="103">
        <f t="shared" si="34"/>
        <v>2623.5</v>
      </c>
      <c r="O65" s="103">
        <f t="shared" si="27"/>
        <v>0</v>
      </c>
      <c r="P65" s="103">
        <f t="shared" si="28"/>
        <v>0</v>
      </c>
      <c r="Q65" s="103">
        <f t="shared" si="29"/>
        <v>0</v>
      </c>
      <c r="R65" s="103">
        <f t="shared" si="30"/>
        <v>0</v>
      </c>
      <c r="S65" s="103" t="str">
        <f t="shared" si="35"/>
        <v>kgCO2e/toneladas</v>
      </c>
      <c r="T65" s="103">
        <f t="shared" si="36"/>
        <v>2623.5</v>
      </c>
      <c r="U65" s="103" t="str">
        <f t="shared" si="37"/>
        <v>kgCO2e/toneladas</v>
      </c>
      <c r="V65" s="72" t="s">
        <v>667</v>
      </c>
    </row>
    <row r="66" spans="2:22">
      <c r="B66" s="72" t="s">
        <v>141</v>
      </c>
      <c r="C66" s="408" t="s">
        <v>107</v>
      </c>
      <c r="D66" s="123">
        <v>0</v>
      </c>
      <c r="E66" s="103">
        <v>0</v>
      </c>
      <c r="F66" s="103">
        <f>'1.3 P.I. Ácido Nítrico'!$C$16*1000/1000</f>
        <v>9.9000000000000008E-3</v>
      </c>
      <c r="G66" s="103">
        <v>0</v>
      </c>
      <c r="H66" s="103">
        <v>0</v>
      </c>
      <c r="I66" s="103">
        <v>0</v>
      </c>
      <c r="J66" s="103">
        <v>0</v>
      </c>
      <c r="K66" s="103" t="str">
        <f t="shared" si="31"/>
        <v>kg GEI/kilogramos</v>
      </c>
      <c r="L66" s="329">
        <f t="shared" si="32"/>
        <v>0</v>
      </c>
      <c r="M66" s="103">
        <f t="shared" si="33"/>
        <v>0</v>
      </c>
      <c r="N66" s="103">
        <f t="shared" si="34"/>
        <v>2.6235000000000004</v>
      </c>
      <c r="O66" s="103">
        <f t="shared" si="27"/>
        <v>0</v>
      </c>
      <c r="P66" s="103">
        <f t="shared" si="28"/>
        <v>0</v>
      </c>
      <c r="Q66" s="103">
        <f t="shared" si="29"/>
        <v>0</v>
      </c>
      <c r="R66" s="103">
        <f t="shared" si="30"/>
        <v>0</v>
      </c>
      <c r="S66" s="103" t="str">
        <f t="shared" si="35"/>
        <v>kgCO2e/kilogramos</v>
      </c>
      <c r="T66" s="328">
        <f t="shared" si="36"/>
        <v>2.6235000000000004</v>
      </c>
      <c r="U66" s="103" t="str">
        <f t="shared" si="37"/>
        <v>kgCO2e/kilogramos</v>
      </c>
      <c r="V66" s="72" t="s">
        <v>667</v>
      </c>
    </row>
    <row r="67" spans="2:22">
      <c r="B67" s="72" t="s">
        <v>141</v>
      </c>
      <c r="C67" s="408" t="s">
        <v>108</v>
      </c>
      <c r="D67" s="123">
        <v>0</v>
      </c>
      <c r="E67" s="103">
        <v>0</v>
      </c>
      <c r="F67" s="103">
        <f>'1.3 P.I. Ácido Nítrico'!$C$16*1000/1000000</f>
        <v>9.9000000000000001E-6</v>
      </c>
      <c r="G67" s="103">
        <v>0</v>
      </c>
      <c r="H67" s="103">
        <v>0</v>
      </c>
      <c r="I67" s="103">
        <v>0</v>
      </c>
      <c r="J67" s="103">
        <v>0</v>
      </c>
      <c r="K67" s="103" t="str">
        <f t="shared" si="31"/>
        <v>kg GEI/gramos</v>
      </c>
      <c r="L67" s="329">
        <f t="shared" si="32"/>
        <v>0</v>
      </c>
      <c r="M67" s="103">
        <f t="shared" si="33"/>
        <v>0</v>
      </c>
      <c r="N67" s="103">
        <f t="shared" si="34"/>
        <v>2.6235E-3</v>
      </c>
      <c r="O67" s="103">
        <f t="shared" si="27"/>
        <v>0</v>
      </c>
      <c r="P67" s="103">
        <f t="shared" si="28"/>
        <v>0</v>
      </c>
      <c r="Q67" s="103">
        <f t="shared" si="29"/>
        <v>0</v>
      </c>
      <c r="R67" s="103">
        <f t="shared" si="30"/>
        <v>0</v>
      </c>
      <c r="S67" s="103" t="str">
        <f t="shared" si="35"/>
        <v>kgCO2e/gramos</v>
      </c>
      <c r="T67" s="329">
        <f t="shared" si="36"/>
        <v>2.6235E-3</v>
      </c>
      <c r="U67" s="103" t="str">
        <f t="shared" si="37"/>
        <v>kgCO2e/gramos</v>
      </c>
      <c r="V67" s="72" t="s">
        <v>667</v>
      </c>
    </row>
  </sheetData>
  <sheetProtection algorithmName="SHA-512" hashValue="Mba0IBzSfRXrU72Zo6PXjvJZnNorXXQbyNMG+yUx0DQ9OdfvG47nEb1shFQIuxVXPyILNaUr10R36n2X+v1OSQ==" saltValue="J10js1NNFLVNGPTZc0/BiQ==" spinCount="100000" sheet="1" objects="1" scenarios="1" autoFilter="0"/>
  <autoFilter ref="B11:V11" xr:uid="{00000000-0001-0000-1000-000000000000}"/>
  <phoneticPr fontId="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1:P5"/>
  <sheetViews>
    <sheetView showGridLines="0" workbookViewId="0"/>
  </sheetViews>
  <sheetFormatPr baseColWidth="10" defaultColWidth="11.44140625" defaultRowHeight="14.4"/>
  <cols>
    <col min="2" max="2" width="19" bestFit="1" customWidth="1"/>
    <col min="3" max="3" width="73.88671875" bestFit="1" customWidth="1"/>
    <col min="4" max="10" width="2.6640625" customWidth="1"/>
    <col min="12" max="12" width="16.88671875" customWidth="1"/>
    <col min="13" max="13" width="13.109375" customWidth="1"/>
    <col min="14" max="14" width="20.6640625" customWidth="1"/>
    <col min="15" max="15" width="16" customWidth="1"/>
    <col min="16" max="16" width="17.109375" customWidth="1"/>
  </cols>
  <sheetData>
    <row r="1" spans="2:16">
      <c r="B1" s="61" t="s">
        <v>668</v>
      </c>
      <c r="C1" s="161" t="s">
        <v>669</v>
      </c>
    </row>
    <row r="2" spans="2:16">
      <c r="B2" s="61" t="s">
        <v>346</v>
      </c>
      <c r="C2" s="161" t="s">
        <v>670</v>
      </c>
    </row>
    <row r="4" spans="2:16" ht="28.8">
      <c r="K4" s="494" t="s">
        <v>671</v>
      </c>
      <c r="L4" s="494" t="s">
        <v>672</v>
      </c>
      <c r="M4" s="494" t="s">
        <v>673</v>
      </c>
      <c r="N4" s="494" t="s">
        <v>674</v>
      </c>
      <c r="O4" s="494" t="s">
        <v>675</v>
      </c>
      <c r="P4" s="494" t="s">
        <v>676</v>
      </c>
    </row>
    <row r="5" spans="2:16">
      <c r="K5" s="421">
        <v>1</v>
      </c>
      <c r="L5" s="421">
        <v>0.51</v>
      </c>
      <c r="M5" s="421">
        <v>1.002</v>
      </c>
      <c r="N5" s="421">
        <f>K5*L5*M5</f>
        <v>0.51102000000000003</v>
      </c>
      <c r="O5" s="422">
        <v>0.62</v>
      </c>
      <c r="P5" s="421">
        <f>N5*O5</f>
        <v>0.31683240000000001</v>
      </c>
    </row>
  </sheetData>
  <sheetProtection algorithmName="SHA-512" hashValue="mkgOBoEhk87wScc5X8bRZgAvcbjqAncPpO+FG2/WcM8dKxYVFV9JYUlDZYGitQzNXC9HtsdUxJNO6HuMbH09BA==" saltValue="hn8MGvVdL+h2ZC1zWAYpgg==" spinCount="100000" sheet="1" objects="1" scenarios="1" autoFilter="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1B430-36FD-481E-B0B0-BE1E0AD92DD2}">
  <sheetPr>
    <tabColor theme="7"/>
  </sheetPr>
  <dimension ref="B6:L678"/>
  <sheetViews>
    <sheetView showGridLines="0" workbookViewId="0"/>
  </sheetViews>
  <sheetFormatPr baseColWidth="10" defaultColWidth="11.5546875" defaultRowHeight="14.4"/>
  <cols>
    <col min="1" max="1" width="11.5546875" style="78"/>
    <col min="2" max="3" width="24.33203125" style="78" customWidth="1"/>
    <col min="4" max="4" width="45.33203125" style="78" bestFit="1" customWidth="1"/>
    <col min="5" max="6" width="23.109375" style="78" customWidth="1"/>
    <col min="7" max="7" width="27.5546875" style="78" hidden="1" customWidth="1"/>
    <col min="8" max="8" width="18.33203125" style="500" customWidth="1"/>
    <col min="9" max="9" width="29.6640625" style="78" customWidth="1"/>
    <col min="10" max="10" width="31.33203125" style="78" customWidth="1"/>
    <col min="11" max="11" width="71.33203125" style="156" customWidth="1"/>
    <col min="12" max="12" width="28.109375" style="499" customWidth="1"/>
    <col min="13" max="16384" width="11.5546875" style="78"/>
  </cols>
  <sheetData>
    <row r="6" spans="2:12">
      <c r="L6" s="156"/>
    </row>
    <row r="7" spans="2:12">
      <c r="L7" s="156"/>
    </row>
    <row r="8" spans="2:12" ht="15" thickBot="1">
      <c r="B8" s="516" t="s">
        <v>88</v>
      </c>
      <c r="C8" s="516" t="s">
        <v>89</v>
      </c>
      <c r="D8" s="516" t="s">
        <v>90</v>
      </c>
      <c r="E8" s="516" t="s">
        <v>91</v>
      </c>
      <c r="F8" s="516" t="s">
        <v>92</v>
      </c>
      <c r="G8" s="516" t="s">
        <v>93</v>
      </c>
      <c r="H8" s="517" t="s">
        <v>94</v>
      </c>
      <c r="I8" s="516" t="s">
        <v>95</v>
      </c>
      <c r="J8" s="516" t="s">
        <v>96</v>
      </c>
      <c r="K8" s="516" t="s">
        <v>97</v>
      </c>
      <c r="L8" s="516" t="s">
        <v>98</v>
      </c>
    </row>
    <row r="9" spans="2:12" ht="28.8">
      <c r="B9" s="761" t="s">
        <v>99</v>
      </c>
      <c r="C9" s="761" t="s">
        <v>12</v>
      </c>
      <c r="D9" s="761" t="s">
        <v>100</v>
      </c>
      <c r="E9" s="761" t="s">
        <v>101</v>
      </c>
      <c r="F9" s="761" t="s">
        <v>102</v>
      </c>
      <c r="G9" s="761" t="s">
        <v>103</v>
      </c>
      <c r="H9" s="762" cm="1">
        <f t="array" ref="H9">_xlfn.XLOOKUP(E9&amp;G9,'1.1 Combustión estacionaria'!$B$16:$B$48&amp;'1.1 Combustión estacionaria'!$F$16:$F$48,'1.1 Combustión estacionaria'!$AB$16:$AB$48,"-")</f>
        <v>2361.0160796670002</v>
      </c>
      <c r="I9" s="761" t="str" cm="1">
        <f t="array" ref="I9">_xlfn.XLOOKUP(E9&amp;G9,'1.1 Combustión estacionaria'!$B$16:$B$48&amp;'1.1 Combustión estacionaria'!$F$16:$F$48,'1.1 Combustión estacionaria'!$AC$16:$AC$48,"-")</f>
        <v>kgCO2e/metros cúbicos</v>
      </c>
      <c r="J9" s="761" t="str" cm="1">
        <f t="array" ref="J9">_xlfn.XLOOKUP(E9&amp;G9,'1.1 Combustión estacionaria'!$B$16:$B$48&amp;'1.1 Combustión estacionaria'!$F$16:$F$48,'1.1 Combustión estacionaria'!$AD$16:$AD$48,"-")</f>
        <v>IPCC 2006 (vol2; chapter 2) , Table 2.4</v>
      </c>
      <c r="K9" s="761" t="str" cm="1">
        <f t="array" ref="K9">_xlfn.XLOOKUP(E9&amp;G9,'1.1 Combustión estacionaria'!$B$16:$B$48&amp;'1.1 Combustión estacionaria'!$F$16:$F$48,'1.1 Combustión estacionaria'!$AE$16:$AE$48,"-")</f>
        <v>CNE BNE 2020</v>
      </c>
      <c r="L9" s="763" t="str" cm="1">
        <f t="array" ref="L9">_xlfn.XLOOKUP(E9&amp;G9,'1.1 Combustión estacionaria'!$B$16:$B$48&amp;'1.1 Combustión estacionaria'!$F$16:$F$48,'1.1 Combustión estacionaria'!$AF$16:$AF$48,"-")</f>
        <v>-</v>
      </c>
    </row>
    <row r="10" spans="2:12" ht="28.8">
      <c r="B10" s="764" t="s">
        <v>99</v>
      </c>
      <c r="C10" s="764" t="s">
        <v>12</v>
      </c>
      <c r="D10" s="764" t="s">
        <v>100</v>
      </c>
      <c r="E10" s="764" t="s">
        <v>101</v>
      </c>
      <c r="F10" s="764" t="s">
        <v>102</v>
      </c>
      <c r="G10" s="764" t="s">
        <v>104</v>
      </c>
      <c r="H10" s="765" cm="1">
        <f t="array" ref="H10">_xlfn.XLOOKUP(E10&amp;G10,'1.1 Combustión estacionaria'!$B$16:$B$48&amp;'1.1 Combustión estacionaria'!$F$16:$F$48,'1.1 Combustión estacionaria'!$AB$16:$AB$48,"-")</f>
        <v>2.3610160796670003</v>
      </c>
      <c r="I10" s="764" t="str" cm="1">
        <f t="array" ref="I10">_xlfn.XLOOKUP(E10&amp;G10,'1.1 Combustión estacionaria'!$B$16:$B$48&amp;'1.1 Combustión estacionaria'!$F$16:$F$48,'1.1 Combustión estacionaria'!$AC$16:$AC$48,"-")</f>
        <v>kgCO2e/litros</v>
      </c>
      <c r="J10" s="764" t="str" cm="1">
        <f t="array" ref="J10">_xlfn.XLOOKUP(E10&amp;G10,'1.1 Combustión estacionaria'!$B$16:$B$48&amp;'1.1 Combustión estacionaria'!$F$16:$F$48,'1.1 Combustión estacionaria'!$AD$16:$AD$48,"-")</f>
        <v>IPCC 2006 (vol2; chapter 2) , Table 2.4</v>
      </c>
      <c r="K10" s="766" t="str" cm="1">
        <f t="array" ref="K10">_xlfn.XLOOKUP(E10&amp;G10,'1.1 Combustión estacionaria'!$B$16:$B$48&amp;'1.1 Combustión estacionaria'!$F$16:$F$48,'1.1 Combustión estacionaria'!$AE$16:$AE$48,"-")</f>
        <v>CNE BNE 2020</v>
      </c>
      <c r="L10" s="767" t="str" cm="1">
        <f t="array" ref="L10">_xlfn.XLOOKUP(E10&amp;G10,'1.1 Combustión estacionaria'!$B$16:$B$48&amp;'1.1 Combustión estacionaria'!$F$16:$F$48,'1.1 Combustión estacionaria'!$AF$16:$AF$48,"-")</f>
        <v>-</v>
      </c>
    </row>
    <row r="11" spans="2:12" ht="28.8">
      <c r="B11" s="764" t="s">
        <v>99</v>
      </c>
      <c r="C11" s="764" t="s">
        <v>12</v>
      </c>
      <c r="D11" s="764" t="s">
        <v>100</v>
      </c>
      <c r="E11" s="764" t="s">
        <v>105</v>
      </c>
      <c r="F11" s="764" t="s">
        <v>102</v>
      </c>
      <c r="G11" s="764" t="s">
        <v>106</v>
      </c>
      <c r="H11" s="765" cm="1">
        <f t="array" ref="H11">_xlfn.XLOOKUP(E11&amp;G11,'1.1 Combustión estacionaria'!$B$16:$B$48&amp;'1.1 Combustión estacionaria'!$F$16:$F$48,'1.1 Combustión estacionaria'!$AB$16:$AB$48,"-")</f>
        <v>2652.7371160499997</v>
      </c>
      <c r="I11" s="764" t="str" cm="1">
        <f t="array" ref="I11">_xlfn.XLOOKUP(E11&amp;G11,'1.1 Combustión estacionaria'!$B$16:$B$48&amp;'1.1 Combustión estacionaria'!$F$16:$F$48,'1.1 Combustión estacionaria'!$AC$16:$AC$48,"-")</f>
        <v>kgCO2e/toneladas</v>
      </c>
      <c r="J11" s="764" t="str" cm="1">
        <f t="array" ref="J11">_xlfn.XLOOKUP(E11&amp;G11,'1.1 Combustión estacionaria'!$B$16:$B$48&amp;'1.1 Combustión estacionaria'!$F$16:$F$48,'1.1 Combustión estacionaria'!$AD$16:$AD$48,"-")</f>
        <v>IPCC 2006 (vol2; chapter 2) , Table 2.4</v>
      </c>
      <c r="K11" s="764" t="str" cm="1">
        <f t="array" ref="K11">_xlfn.XLOOKUP(E11&amp;G11,'1.1 Combustión estacionaria'!$B$16:$B$48&amp;'1.1 Combustión estacionaria'!$F$16:$F$48,'1.1 Combustión estacionaria'!$AE$16:$AE$48,"-")</f>
        <v>CNE BNE 2020</v>
      </c>
      <c r="L11" s="768" t="str" cm="1">
        <f t="array" ref="L11">_xlfn.XLOOKUP(E11&amp;G11,'1.1 Combustión estacionaria'!$B$16:$B$48&amp;'1.1 Combustión estacionaria'!$F$16:$F$48,'1.1 Combustión estacionaria'!$AF$16:$AF$48,"-")</f>
        <v>-</v>
      </c>
    </row>
    <row r="12" spans="2:12" ht="28.8">
      <c r="B12" s="764" t="s">
        <v>99</v>
      </c>
      <c r="C12" s="764" t="s">
        <v>12</v>
      </c>
      <c r="D12" s="764" t="s">
        <v>100</v>
      </c>
      <c r="E12" s="764" t="s">
        <v>105</v>
      </c>
      <c r="F12" s="764" t="s">
        <v>102</v>
      </c>
      <c r="G12" s="764" t="s">
        <v>107</v>
      </c>
      <c r="H12" s="765" cm="1">
        <f t="array" ref="H12">_xlfn.XLOOKUP(E12&amp;G12,'1.1 Combustión estacionaria'!$B$16:$B$48&amp;'1.1 Combustión estacionaria'!$F$16:$F$48,'1.1 Combustión estacionaria'!$AB$16:$AB$48,"-")</f>
        <v>2.6527371160499995</v>
      </c>
      <c r="I12" s="764" t="str" cm="1">
        <f t="array" ref="I12">_xlfn.XLOOKUP(E12&amp;G12,'1.1 Combustión estacionaria'!$B$16:$B$48&amp;'1.1 Combustión estacionaria'!$F$16:$F$48,'1.1 Combustión estacionaria'!$AC$16:$AC$48,"-")</f>
        <v>kgCO2e/kilogramos</v>
      </c>
      <c r="J12" s="764" t="str" cm="1">
        <f t="array" ref="J12">_xlfn.XLOOKUP(E12&amp;G12,'1.1 Combustión estacionaria'!$B$16:$B$48&amp;'1.1 Combustión estacionaria'!$F$16:$F$48,'1.1 Combustión estacionaria'!$AD$16:$AD$48,"-")</f>
        <v>IPCC 2006 (vol2; chapter 2) , Table 2.4</v>
      </c>
      <c r="K12" s="764" t="str" cm="1">
        <f t="array" ref="K12">_xlfn.XLOOKUP(E12&amp;G12,'1.1 Combustión estacionaria'!$B$16:$B$48&amp;'1.1 Combustión estacionaria'!$F$16:$F$48,'1.1 Combustión estacionaria'!$AE$16:$AE$48,"-")</f>
        <v>CNE BNE 2020</v>
      </c>
      <c r="L12" s="768" t="str" cm="1">
        <f t="array" ref="L12">_xlfn.XLOOKUP(E12&amp;G12,'1.1 Combustión estacionaria'!$B$16:$B$48&amp;'1.1 Combustión estacionaria'!$F$16:$F$48,'1.1 Combustión estacionaria'!$AF$16:$AF$48,"-")</f>
        <v>-</v>
      </c>
    </row>
    <row r="13" spans="2:12" ht="28.8">
      <c r="B13" s="764" t="s">
        <v>99</v>
      </c>
      <c r="C13" s="764" t="s">
        <v>12</v>
      </c>
      <c r="D13" s="764" t="s">
        <v>100</v>
      </c>
      <c r="E13" s="764" t="s">
        <v>105</v>
      </c>
      <c r="F13" s="764" t="s">
        <v>102</v>
      </c>
      <c r="G13" s="764" t="s">
        <v>108</v>
      </c>
      <c r="H13" s="769" cm="1">
        <f t="array" ref="H13">_xlfn.XLOOKUP(E13&amp;G13,'1.1 Combustión estacionaria'!$B$16:$B$48&amp;'1.1 Combustión estacionaria'!$F$16:$F$48,'1.1 Combustión estacionaria'!$AB$16:$AB$48,"-")</f>
        <v>2.6527371160499995E-3</v>
      </c>
      <c r="I13" s="764" t="str" cm="1">
        <f t="array" ref="I13">_xlfn.XLOOKUP(E13&amp;G13,'1.1 Combustión estacionaria'!$B$16:$B$48&amp;'1.1 Combustión estacionaria'!$F$16:$F$48,'1.1 Combustión estacionaria'!$AC$16:$AC$48,"-")</f>
        <v>kgCO2e/gramos</v>
      </c>
      <c r="J13" s="764" t="str" cm="1">
        <f t="array" ref="J13">_xlfn.XLOOKUP(E13&amp;G13,'1.1 Combustión estacionaria'!$B$16:$B$48&amp;'1.1 Combustión estacionaria'!$F$16:$F$48,'1.1 Combustión estacionaria'!$AD$16:$AD$48,"-")</f>
        <v>IPCC 2006 (vol2; chapter 2) , Table 2.4</v>
      </c>
      <c r="K13" s="764" t="str" cm="1">
        <f t="array" ref="K13">_xlfn.XLOOKUP(E13&amp;G13,'1.1 Combustión estacionaria'!$B$16:$B$48&amp;'1.1 Combustión estacionaria'!$F$16:$F$48,'1.1 Combustión estacionaria'!$AE$16:$AE$48,"-")</f>
        <v>CNE BNE 2020</v>
      </c>
      <c r="L13" s="768" t="str" cm="1">
        <f t="array" ref="L13">_xlfn.XLOOKUP(E13&amp;G13,'1.1 Combustión estacionaria'!$B$16:$B$48&amp;'1.1 Combustión estacionaria'!$F$16:$F$48,'1.1 Combustión estacionaria'!$AF$16:$AF$48,"-")</f>
        <v>-</v>
      </c>
    </row>
    <row r="14" spans="2:12" ht="28.8">
      <c r="B14" s="764" t="s">
        <v>99</v>
      </c>
      <c r="C14" s="764" t="s">
        <v>12</v>
      </c>
      <c r="D14" s="764" t="s">
        <v>100</v>
      </c>
      <c r="E14" s="764" t="s">
        <v>109</v>
      </c>
      <c r="F14" s="764" t="s">
        <v>102</v>
      </c>
      <c r="G14" s="764" t="s">
        <v>106</v>
      </c>
      <c r="H14" s="765" cm="1">
        <f t="array" ref="H14">_xlfn.XLOOKUP(E14&amp;G14,'1.1 Combustión estacionaria'!$B$16:$B$48&amp;'1.1 Combustión estacionaria'!$F$16:$F$48,'1.1 Combustión estacionaria'!$AB$16:$AB$48,"-")</f>
        <v>2652.7371160499997</v>
      </c>
      <c r="I14" s="764" t="str" cm="1">
        <f t="array" ref="I14">_xlfn.XLOOKUP(E14&amp;G14,'1.1 Combustión estacionaria'!$B$16:$B$48&amp;'1.1 Combustión estacionaria'!$F$16:$F$48,'1.1 Combustión estacionaria'!$AC$16:$AC$48,"-")</f>
        <v>kgCO2e/toneladas</v>
      </c>
      <c r="J14" s="764" t="str" cm="1">
        <f t="array" ref="J14">_xlfn.XLOOKUP(E14&amp;G14,'1.1 Combustión estacionaria'!$B$16:$B$48&amp;'1.1 Combustión estacionaria'!$F$16:$F$48,'1.1 Combustión estacionaria'!$AD$16:$AD$48,"-")</f>
        <v>IPCC 2006 (vol2; chapter 2) , Table 2.4</v>
      </c>
      <c r="K14" s="764" t="str" cm="1">
        <f t="array" ref="K14">_xlfn.XLOOKUP(E14&amp;G14,'1.1 Combustión estacionaria'!$B$16:$B$48&amp;'1.1 Combustión estacionaria'!$F$16:$F$48,'1.1 Combustión estacionaria'!$AE$16:$AE$48,"-")</f>
        <v>CNE BNE 2020</v>
      </c>
      <c r="L14" s="768" t="str" cm="1">
        <f t="array" ref="L14">_xlfn.XLOOKUP(E14&amp;G14,'1.1 Combustión estacionaria'!$B$16:$B$48&amp;'1.1 Combustión estacionaria'!$F$16:$F$48,'1.1 Combustión estacionaria'!$AF$16:$AF$48,"-")</f>
        <v>-</v>
      </c>
    </row>
    <row r="15" spans="2:12" ht="28.8">
      <c r="B15" s="764" t="s">
        <v>99</v>
      </c>
      <c r="C15" s="764" t="s">
        <v>12</v>
      </c>
      <c r="D15" s="764" t="s">
        <v>100</v>
      </c>
      <c r="E15" s="764" t="s">
        <v>109</v>
      </c>
      <c r="F15" s="764" t="s">
        <v>102</v>
      </c>
      <c r="G15" s="764" t="s">
        <v>107</v>
      </c>
      <c r="H15" s="765" cm="1">
        <f t="array" ref="H15">_xlfn.XLOOKUP(E15&amp;G15,'1.1 Combustión estacionaria'!$B$16:$B$48&amp;'1.1 Combustión estacionaria'!$F$16:$F$48,'1.1 Combustión estacionaria'!$AB$16:$AB$48,"-")</f>
        <v>2.6527371160499995</v>
      </c>
      <c r="I15" s="764" t="str" cm="1">
        <f t="array" ref="I15">_xlfn.XLOOKUP(E15&amp;G15,'1.1 Combustión estacionaria'!$B$16:$B$48&amp;'1.1 Combustión estacionaria'!$F$16:$F$48,'1.1 Combustión estacionaria'!$AC$16:$AC$48,"-")</f>
        <v>kgCO2e/kilogramos</v>
      </c>
      <c r="J15" s="764" t="str" cm="1">
        <f t="array" ref="J15">_xlfn.XLOOKUP(E15&amp;G15,'1.1 Combustión estacionaria'!$B$16:$B$48&amp;'1.1 Combustión estacionaria'!$F$16:$F$48,'1.1 Combustión estacionaria'!$AD$16:$AD$48,"-")</f>
        <v>IPCC 2006 (vol2; chapter 2) , Table 2.4</v>
      </c>
      <c r="K15" s="764" t="str" cm="1">
        <f t="array" ref="K15">_xlfn.XLOOKUP(E15&amp;G15,'1.1 Combustión estacionaria'!$B$16:$B$48&amp;'1.1 Combustión estacionaria'!$F$16:$F$48,'1.1 Combustión estacionaria'!$AE$16:$AE$48,"-")</f>
        <v>CNE BNE 2020</v>
      </c>
      <c r="L15" s="768" t="str" cm="1">
        <f t="array" ref="L15">_xlfn.XLOOKUP(E15&amp;G15,'1.1 Combustión estacionaria'!$B$16:$B$48&amp;'1.1 Combustión estacionaria'!$F$16:$F$48,'1.1 Combustión estacionaria'!$AF$16:$AF$48,"-")</f>
        <v>-</v>
      </c>
    </row>
    <row r="16" spans="2:12" ht="28.8">
      <c r="B16" s="764" t="s">
        <v>99</v>
      </c>
      <c r="C16" s="764" t="s">
        <v>12</v>
      </c>
      <c r="D16" s="764" t="s">
        <v>100</v>
      </c>
      <c r="E16" s="764" t="s">
        <v>109</v>
      </c>
      <c r="F16" s="770" t="s">
        <v>102</v>
      </c>
      <c r="G16" s="764" t="s">
        <v>108</v>
      </c>
      <c r="H16" s="769" cm="1">
        <f t="array" ref="H16">_xlfn.XLOOKUP(E16&amp;G16,'1.1 Combustión estacionaria'!$B$16:$B$48&amp;'1.1 Combustión estacionaria'!$F$16:$F$48,'1.1 Combustión estacionaria'!$AB$16:$AB$48,"-")</f>
        <v>2.6527371160499995E-3</v>
      </c>
      <c r="I16" s="764" t="str" cm="1">
        <f t="array" ref="I16">_xlfn.XLOOKUP(E16&amp;G16,'1.1 Combustión estacionaria'!$B$16:$B$48&amp;'1.1 Combustión estacionaria'!$F$16:$F$48,'1.1 Combustión estacionaria'!$AC$16:$AC$48,"-")</f>
        <v>kgCO2e/gramos</v>
      </c>
      <c r="J16" s="764" t="str" cm="1">
        <f t="array" ref="J16">_xlfn.XLOOKUP(E16&amp;G16,'1.1 Combustión estacionaria'!$B$16:$B$48&amp;'1.1 Combustión estacionaria'!$F$16:$F$48,'1.1 Combustión estacionaria'!$AD$16:$AD$48,"-")</f>
        <v>IPCC 2006 (vol2; chapter 2) , Table 2.4</v>
      </c>
      <c r="K16" s="764" t="str" cm="1">
        <f t="array" ref="K16">_xlfn.XLOOKUP(E16&amp;G16,'1.1 Combustión estacionaria'!$B$16:$B$48&amp;'1.1 Combustión estacionaria'!$F$16:$F$48,'1.1 Combustión estacionaria'!$AE$16:$AE$48,"-")</f>
        <v>CNE BNE 2020</v>
      </c>
      <c r="L16" s="768" t="str" cm="1">
        <f t="array" ref="L16">_xlfn.XLOOKUP(E16&amp;G16,'1.1 Combustión estacionaria'!$B$16:$B$48&amp;'1.1 Combustión estacionaria'!$F$16:$F$48,'1.1 Combustión estacionaria'!$AF$16:$AF$48,"-")</f>
        <v>-</v>
      </c>
    </row>
    <row r="17" spans="2:12" ht="28.8">
      <c r="B17" s="764" t="s">
        <v>99</v>
      </c>
      <c r="C17" s="764" t="s">
        <v>12</v>
      </c>
      <c r="D17" s="764" t="s">
        <v>100</v>
      </c>
      <c r="E17" s="764" t="s">
        <v>110</v>
      </c>
      <c r="F17" s="764" t="s">
        <v>102</v>
      </c>
      <c r="G17" s="764" t="s">
        <v>103</v>
      </c>
      <c r="H17" s="765" cm="1">
        <f t="array" ref="H17">_xlfn.XLOOKUP(E17&amp;G17,'1.1 Combustión estacionaria'!$B$16:$B$48&amp;'1.1 Combustión estacionaria'!$F$16:$F$48,'1.1 Combustión estacionaria'!$AB$16:$AB$48,"-")</f>
        <v>2267.8922621174397</v>
      </c>
      <c r="I17" s="764" t="str" cm="1">
        <f t="array" ref="I17">_xlfn.XLOOKUP(E17&amp;G17,'1.1 Combustión estacionaria'!$B$16:$B$48&amp;'1.1 Combustión estacionaria'!$F$16:$F$48,'1.1 Combustión estacionaria'!$AC$16:$AC$48,"-")</f>
        <v>kgCO2e/metros cúbicos</v>
      </c>
      <c r="J17" s="764" t="str" cm="1">
        <f t="array" ref="J17">_xlfn.XLOOKUP(E17&amp;G17,'1.1 Combustión estacionaria'!$B$16:$B$48&amp;'1.1 Combustión estacionaria'!$F$16:$F$48,'1.1 Combustión estacionaria'!$AD$16:$AD$48,"-")</f>
        <v>IPCC 2006 (vol2; chapter 2) , Table 2.4</v>
      </c>
      <c r="K17" s="764" t="str" cm="1">
        <f t="array" ref="K17">_xlfn.XLOOKUP(E17&amp;G17,'1.1 Combustión estacionaria'!$B$16:$B$48&amp;'1.1 Combustión estacionaria'!$F$16:$F$48,'1.1 Combustión estacionaria'!$AE$16:$AE$48,"-")</f>
        <v>CNE BNE 2020</v>
      </c>
      <c r="L17" s="768" t="str" cm="1">
        <f t="array" ref="L17">_xlfn.XLOOKUP(E17&amp;G17,'1.1 Combustión estacionaria'!$B$16:$B$48&amp;'1.1 Combustión estacionaria'!$F$16:$F$48,'1.1 Combustión estacionaria'!$AF$16:$AF$48,"-")</f>
        <v>-</v>
      </c>
    </row>
    <row r="18" spans="2:12" ht="28.8">
      <c r="B18" s="764" t="s">
        <v>99</v>
      </c>
      <c r="C18" s="764" t="s">
        <v>12</v>
      </c>
      <c r="D18" s="764" t="s">
        <v>100</v>
      </c>
      <c r="E18" s="764" t="s">
        <v>110</v>
      </c>
      <c r="F18" s="764" t="s">
        <v>102</v>
      </c>
      <c r="G18" s="764" t="s">
        <v>104</v>
      </c>
      <c r="H18" s="765" cm="1">
        <f t="array" ref="H18">_xlfn.XLOOKUP(E18&amp;G18,'1.1 Combustión estacionaria'!$B$16:$B$48&amp;'1.1 Combustión estacionaria'!$F$16:$F$48,'1.1 Combustión estacionaria'!$AB$16:$AB$48,"-")</f>
        <v>2.2678922621174396</v>
      </c>
      <c r="I18" s="764" t="str" cm="1">
        <f t="array" ref="I18">_xlfn.XLOOKUP(E18&amp;G18,'1.1 Combustión estacionaria'!$B$16:$B$48&amp;'1.1 Combustión estacionaria'!$F$16:$F$48,'1.1 Combustión estacionaria'!$AC$16:$AC$48,"-")</f>
        <v>kgCO2e/litros</v>
      </c>
      <c r="J18" s="764" t="str" cm="1">
        <f t="array" ref="J18">_xlfn.XLOOKUP(E18&amp;G18,'1.1 Combustión estacionaria'!$B$16:$B$48&amp;'1.1 Combustión estacionaria'!$F$16:$F$48,'1.1 Combustión estacionaria'!$AD$16:$AD$48,"-")</f>
        <v>IPCC 2006 (vol2; chapter 2) , Table 2.4</v>
      </c>
      <c r="K18" s="764" t="str" cm="1">
        <f t="array" ref="K18">_xlfn.XLOOKUP(E18&amp;G18,'1.1 Combustión estacionaria'!$B$16:$B$48&amp;'1.1 Combustión estacionaria'!$F$16:$F$48,'1.1 Combustión estacionaria'!$AE$16:$AE$48,"-")</f>
        <v>CNE BNE 2020</v>
      </c>
      <c r="L18" s="768" t="str" cm="1">
        <f t="array" ref="L18">_xlfn.XLOOKUP(E18&amp;G18,'1.1 Combustión estacionaria'!$B$16:$B$48&amp;'1.1 Combustión estacionaria'!$F$16:$F$48,'1.1 Combustión estacionaria'!$AF$16:$AF$48,"-")</f>
        <v>-</v>
      </c>
    </row>
    <row r="19" spans="2:12" ht="28.8">
      <c r="B19" s="764" t="s">
        <v>99</v>
      </c>
      <c r="C19" s="764" t="s">
        <v>12</v>
      </c>
      <c r="D19" s="764" t="s">
        <v>100</v>
      </c>
      <c r="E19" s="764" t="s">
        <v>111</v>
      </c>
      <c r="F19" s="764" t="s">
        <v>102</v>
      </c>
      <c r="G19" s="764" t="s">
        <v>106</v>
      </c>
      <c r="H19" s="765" cm="1">
        <f t="array" ref="H19">_xlfn.XLOOKUP(E19&amp;G19,'1.1 Combustión estacionaria'!$B$16:$B$48&amp;'1.1 Combustión estacionaria'!$F$16:$F$48,'1.1 Combustión estacionaria'!$AB$16:$AB$48,"-")</f>
        <v>578.35012949999998</v>
      </c>
      <c r="I19" s="764" t="str" cm="1">
        <f t="array" ref="I19">_xlfn.XLOOKUP(E19&amp;G19,'1.1 Combustión estacionaria'!$B$16:$B$48&amp;'1.1 Combustión estacionaria'!$F$16:$F$48,'1.1 Combustión estacionaria'!$AC$16:$AC$48,"-")</f>
        <v>kgCO2e/toneladas</v>
      </c>
      <c r="J19" s="764" t="str" cm="1">
        <f t="array" ref="J19">_xlfn.XLOOKUP(E19&amp;G19,'1.1 Combustión estacionaria'!$B$16:$B$48&amp;'1.1 Combustión estacionaria'!$F$16:$F$48,'1.1 Combustión estacionaria'!$AD$16:$AD$48,"-")</f>
        <v>IPCC 2006 (vol2; chapter 2) , Table 2.4</v>
      </c>
      <c r="K19" s="764" t="str" cm="1">
        <f t="array" ref="K19">_xlfn.XLOOKUP(E19&amp;G19,'1.1 Combustión estacionaria'!$B$16:$B$48&amp;'1.1 Combustión estacionaria'!$F$16:$F$48,'1.1 Combustión estacionaria'!$AE$16:$AE$48,"-")</f>
        <v>CNE BNE 2020</v>
      </c>
      <c r="L19" s="768" t="str" cm="1">
        <f t="array" ref="L19">_xlfn.XLOOKUP(E19&amp;G19,'1.1 Combustión estacionaria'!$B$16:$B$48&amp;'1.1 Combustión estacionaria'!$F$16:$F$48,'1.1 Combustión estacionaria'!$AF$16:$AF$48,"-")</f>
        <v>IPCC 2006 (vol2; chapter 1) , Table 1.2</v>
      </c>
    </row>
    <row r="20" spans="2:12" ht="28.8">
      <c r="B20" s="764" t="s">
        <v>99</v>
      </c>
      <c r="C20" s="764" t="s">
        <v>12</v>
      </c>
      <c r="D20" s="764" t="s">
        <v>100</v>
      </c>
      <c r="E20" s="764" t="s">
        <v>111</v>
      </c>
      <c r="F20" s="764" t="s">
        <v>102</v>
      </c>
      <c r="G20" s="764" t="s">
        <v>107</v>
      </c>
      <c r="H20" s="771" cm="1">
        <f t="array" ref="H20">_xlfn.XLOOKUP(E20&amp;G20,'1.1 Combustión estacionaria'!$B$16:$B$48&amp;'1.1 Combustión estacionaria'!$F$16:$F$48,'1.1 Combustión estacionaria'!$AB$16:$AB$48,"-")</f>
        <v>0.57835012949999998</v>
      </c>
      <c r="I20" s="764" t="str" cm="1">
        <f t="array" ref="I20">_xlfn.XLOOKUP(E20&amp;G20,'1.1 Combustión estacionaria'!$B$16:$B$48&amp;'1.1 Combustión estacionaria'!$F$16:$F$48,'1.1 Combustión estacionaria'!$AC$16:$AC$48,"-")</f>
        <v>kgCO2e/kilogramos</v>
      </c>
      <c r="J20" s="764" t="str" cm="1">
        <f t="array" ref="J20">_xlfn.XLOOKUP(E20&amp;G20,'1.1 Combustión estacionaria'!$B$16:$B$48&amp;'1.1 Combustión estacionaria'!$F$16:$F$48,'1.1 Combustión estacionaria'!$AD$16:$AD$48,"-")</f>
        <v>IPCC 2006 (vol2; chapter 2) , Table 2.4</v>
      </c>
      <c r="K20" s="764" t="str" cm="1">
        <f t="array" ref="K20">_xlfn.XLOOKUP(E20&amp;G20,'1.1 Combustión estacionaria'!$B$16:$B$48&amp;'1.1 Combustión estacionaria'!$F$16:$F$48,'1.1 Combustión estacionaria'!$AE$16:$AE$48,"-")</f>
        <v>CNE BNE 2020</v>
      </c>
      <c r="L20" s="768" t="str" cm="1">
        <f t="array" ref="L20">_xlfn.XLOOKUP(E20&amp;G20,'1.1 Combustión estacionaria'!$B$16:$B$48&amp;'1.1 Combustión estacionaria'!$F$16:$F$48,'1.1 Combustión estacionaria'!$AF$16:$AF$48,"-")</f>
        <v>IPCC 2006 (vol2; chapter 1) , Table 1.2</v>
      </c>
    </row>
    <row r="21" spans="2:12" ht="28.8">
      <c r="B21" s="764" t="s">
        <v>99</v>
      </c>
      <c r="C21" s="764" t="s">
        <v>12</v>
      </c>
      <c r="D21" s="764" t="s">
        <v>100</v>
      </c>
      <c r="E21" s="764" t="s">
        <v>111</v>
      </c>
      <c r="F21" s="764" t="s">
        <v>102</v>
      </c>
      <c r="G21" s="764" t="s">
        <v>108</v>
      </c>
      <c r="H21" s="772" cm="1">
        <f t="array" ref="H21">_xlfn.XLOOKUP(E21&amp;G21,'1.1 Combustión estacionaria'!$B$16:$B$48&amp;'1.1 Combustión estacionaria'!$F$16:$F$48,'1.1 Combustión estacionaria'!$AB$16:$AB$48,"-")</f>
        <v>5.7835012949999996E-4</v>
      </c>
      <c r="I21" s="764" t="str" cm="1">
        <f t="array" ref="I21">_xlfn.XLOOKUP(E21&amp;G21,'1.1 Combustión estacionaria'!$B$16:$B$48&amp;'1.1 Combustión estacionaria'!$F$16:$F$48,'1.1 Combustión estacionaria'!$AC$16:$AC$48,"-")</f>
        <v>kgCO2e/gramos</v>
      </c>
      <c r="J21" s="764" t="str" cm="1">
        <f t="array" ref="J21">_xlfn.XLOOKUP(E21&amp;G21,'1.1 Combustión estacionaria'!$B$16:$B$48&amp;'1.1 Combustión estacionaria'!$F$16:$F$48,'1.1 Combustión estacionaria'!$AD$16:$AD$48,"-")</f>
        <v>IPCC 2006 (vol2; chapter 2) , Table 2.4</v>
      </c>
      <c r="K21" s="764" t="str" cm="1">
        <f t="array" ref="K21">_xlfn.XLOOKUP(E21&amp;G21,'1.1 Combustión estacionaria'!$B$16:$B$48&amp;'1.1 Combustión estacionaria'!$F$16:$F$48,'1.1 Combustión estacionaria'!$AE$16:$AE$48,"-")</f>
        <v>CNE BNE 2020</v>
      </c>
      <c r="L21" s="768" t="str" cm="1">
        <f t="array" ref="L21">_xlfn.XLOOKUP(E21&amp;G21,'1.1 Combustión estacionaria'!$B$16:$B$48&amp;'1.1 Combustión estacionaria'!$F$16:$F$48,'1.1 Combustión estacionaria'!$AF$16:$AF$48,"-")</f>
        <v>IPCC 2006 (vol2; chapter 1) , Table 1.2</v>
      </c>
    </row>
    <row r="22" spans="2:12" ht="28.8">
      <c r="B22" s="764" t="s">
        <v>99</v>
      </c>
      <c r="C22" s="764" t="s">
        <v>12</v>
      </c>
      <c r="D22" s="764" t="s">
        <v>100</v>
      </c>
      <c r="E22" s="764" t="s">
        <v>112</v>
      </c>
      <c r="F22" s="764" t="s">
        <v>102</v>
      </c>
      <c r="G22" s="764" t="s">
        <v>103</v>
      </c>
      <c r="H22" s="765" cm="1">
        <f t="array" ref="H22">_xlfn.XLOOKUP(E22&amp;G22,'1.1 Combustión estacionaria'!$B$16:$B$48&amp;'1.1 Combustión estacionaria'!$F$16:$F$48,'1.1 Combustión estacionaria'!$AB$16:$AB$48,"-")</f>
        <v>1.9804687688971803</v>
      </c>
      <c r="I22" s="764" t="str" cm="1">
        <f t="array" ref="I22">_xlfn.XLOOKUP(E22&amp;G22,'1.1 Combustión estacionaria'!$B$16:$B$48&amp;'1.1 Combustión estacionaria'!$F$16:$F$48,'1.1 Combustión estacionaria'!$AC$16:$AC$48,"-")</f>
        <v>kgCO2e/metros cúbicos</v>
      </c>
      <c r="J22" s="764" t="str" cm="1">
        <f t="array" ref="J22">_xlfn.XLOOKUP(E22&amp;G22,'1.1 Combustión estacionaria'!$B$16:$B$48&amp;'1.1 Combustión estacionaria'!$F$16:$F$48,'1.1 Combustión estacionaria'!$AD$16:$AD$48,"-")</f>
        <v>IPCC 2006 (vol2; chapter 2) , Table 2.4</v>
      </c>
      <c r="K22" s="764" t="str" cm="1">
        <f t="array" ref="K22">_xlfn.XLOOKUP(E22&amp;G22,'1.1 Combustión estacionaria'!$B$16:$B$48&amp;'1.1 Combustión estacionaria'!$F$16:$F$48,'1.1 Combustión estacionaria'!$AE$16:$AE$48,"-")</f>
        <v>CNE BNE 2020</v>
      </c>
      <c r="L22" s="768" t="str" cm="1">
        <f t="array" ref="L22">_xlfn.XLOOKUP(E22&amp;G22,'1.1 Combustión estacionaria'!$B$16:$B$48&amp;'1.1 Combustión estacionaria'!$F$16:$F$48,'1.1 Combustión estacionaria'!$AF$16:$AF$48,"-")</f>
        <v>-</v>
      </c>
    </row>
    <row r="23" spans="2:12" ht="28.8">
      <c r="B23" s="764" t="s">
        <v>99</v>
      </c>
      <c r="C23" s="764" t="s">
        <v>12</v>
      </c>
      <c r="D23" s="764" t="s">
        <v>100</v>
      </c>
      <c r="E23" s="764" t="s">
        <v>112</v>
      </c>
      <c r="F23" s="764" t="s">
        <v>102</v>
      </c>
      <c r="G23" s="764" t="s">
        <v>106</v>
      </c>
      <c r="H23" s="765" cm="1">
        <f t="array" ref="H23">_xlfn.XLOOKUP(E23&amp;G23,'1.1 Combustión estacionaria'!$B$16:$B$48&amp;'1.1 Combustión estacionaria'!$F$16:$F$48,'1.1 Combustión estacionaria'!$AB$16:$AB$48,"-")</f>
        <v>2491.1556841473962</v>
      </c>
      <c r="I23" s="764" t="str" cm="1">
        <f t="array" ref="I23">_xlfn.XLOOKUP(E23&amp;G23,'1.1 Combustión estacionaria'!$B$16:$B$48&amp;'1.1 Combustión estacionaria'!$F$16:$F$48,'1.1 Combustión estacionaria'!$AC$16:$AC$48,"-")</f>
        <v>kgCO2e/toneladas</v>
      </c>
      <c r="J23" s="764" t="str" cm="1">
        <f t="array" ref="J23">_xlfn.XLOOKUP(E23&amp;G23,'1.1 Combustión estacionaria'!$B$16:$B$48&amp;'1.1 Combustión estacionaria'!$F$16:$F$48,'1.1 Combustión estacionaria'!$AD$16:$AD$48,"-")</f>
        <v>IPCC 2006 (vol2; chapter 2) , Table 2.4</v>
      </c>
      <c r="K23" s="764" t="str" cm="1">
        <f t="array" ref="K23">_xlfn.XLOOKUP(E23&amp;G23,'1.1 Combustión estacionaria'!$B$16:$B$48&amp;'1.1 Combustión estacionaria'!$F$16:$F$48,'1.1 Combustión estacionaria'!$AE$16:$AE$48,"-")</f>
        <v>CNE BNE 2020</v>
      </c>
      <c r="L23" s="768" t="str" cm="1">
        <f t="array" ref="L23">_xlfn.XLOOKUP(E23&amp;G23,'1.1 Combustión estacionaria'!$B$16:$B$48&amp;'1.1 Combustión estacionaria'!$F$16:$F$48,'1.1 Combustión estacionaria'!$AF$16:$AF$48,"-")</f>
        <v>DEFRA 2023 (Fuel properties), Natural Gas</v>
      </c>
    </row>
    <row r="24" spans="2:12" ht="28.8">
      <c r="B24" s="764" t="s">
        <v>99</v>
      </c>
      <c r="C24" s="764" t="s">
        <v>12</v>
      </c>
      <c r="D24" s="764" t="s">
        <v>100</v>
      </c>
      <c r="E24" s="764" t="s">
        <v>112</v>
      </c>
      <c r="F24" s="764" t="s">
        <v>102</v>
      </c>
      <c r="G24" s="764" t="s">
        <v>107</v>
      </c>
      <c r="H24" s="765" cm="1">
        <f t="array" ref="H24">_xlfn.XLOOKUP(E24&amp;G24,'1.1 Combustión estacionaria'!$B$16:$B$48&amp;'1.1 Combustión estacionaria'!$F$16:$F$48,'1.1 Combustión estacionaria'!$AB$16:$AB$48,"-")</f>
        <v>2.4911556841473965</v>
      </c>
      <c r="I24" s="764" t="str" cm="1">
        <f t="array" ref="I24">_xlfn.XLOOKUP(E24&amp;G24,'1.1 Combustión estacionaria'!$B$16:$B$48&amp;'1.1 Combustión estacionaria'!$F$16:$F$48,'1.1 Combustión estacionaria'!$AC$16:$AC$48,"-")</f>
        <v>kgCO2e/kilogramos</v>
      </c>
      <c r="J24" s="764" t="str" cm="1">
        <f t="array" ref="J24">_xlfn.XLOOKUP(E24&amp;G24,'1.1 Combustión estacionaria'!$B$16:$B$48&amp;'1.1 Combustión estacionaria'!$F$16:$F$48,'1.1 Combustión estacionaria'!$AD$16:$AD$48,"-")</f>
        <v>IPCC 2006 (vol2; chapter 2) , Table 2.4</v>
      </c>
      <c r="K24" s="764" t="str" cm="1">
        <f t="array" ref="K24">_xlfn.XLOOKUP(E24&amp;G24,'1.1 Combustión estacionaria'!$B$16:$B$48&amp;'1.1 Combustión estacionaria'!$F$16:$F$48,'1.1 Combustión estacionaria'!$AE$16:$AE$48,"-")</f>
        <v>CNE BNE 2020</v>
      </c>
      <c r="L24" s="768" t="str" cm="1">
        <f t="array" ref="L24">_xlfn.XLOOKUP(E24&amp;G24,'1.1 Combustión estacionaria'!$B$16:$B$48&amp;'1.1 Combustión estacionaria'!$F$16:$F$48,'1.1 Combustión estacionaria'!$AF$16:$AF$48,"-")</f>
        <v>DEFRA 2023 (Fuel properties), Natural Gas</v>
      </c>
    </row>
    <row r="25" spans="2:12" ht="28.8">
      <c r="B25" s="764" t="s">
        <v>99</v>
      </c>
      <c r="C25" s="764" t="s">
        <v>12</v>
      </c>
      <c r="D25" s="764" t="s">
        <v>100</v>
      </c>
      <c r="E25" s="764" t="s">
        <v>112</v>
      </c>
      <c r="F25" s="764" t="s">
        <v>102</v>
      </c>
      <c r="G25" s="764" t="s">
        <v>108</v>
      </c>
      <c r="H25" s="769" cm="1">
        <f t="array" ref="H25">_xlfn.XLOOKUP(E25&amp;G25,'1.1 Combustión estacionaria'!$B$16:$B$48&amp;'1.1 Combustión estacionaria'!$F$16:$F$48,'1.1 Combustión estacionaria'!$AB$16:$AB$48,"-")</f>
        <v>2.4911556841473964E-3</v>
      </c>
      <c r="I25" s="764" t="str" cm="1">
        <f t="array" ref="I25">_xlfn.XLOOKUP(E25&amp;G25,'1.1 Combustión estacionaria'!$B$16:$B$48&amp;'1.1 Combustión estacionaria'!$F$16:$F$48,'1.1 Combustión estacionaria'!$AC$16:$AC$48,"-")</f>
        <v>kgCO2e/gramos</v>
      </c>
      <c r="J25" s="764" t="str" cm="1">
        <f t="array" ref="J25">_xlfn.XLOOKUP(E25&amp;G25,'1.1 Combustión estacionaria'!$B$16:$B$48&amp;'1.1 Combustión estacionaria'!$F$16:$F$48,'1.1 Combustión estacionaria'!$AD$16:$AD$48,"-")</f>
        <v>IPCC 2006 (vol2; chapter 2) , Table 2.4</v>
      </c>
      <c r="K25" s="764" t="str" cm="1">
        <f t="array" ref="K25">_xlfn.XLOOKUP(E25&amp;G25,'1.1 Combustión estacionaria'!$B$16:$B$48&amp;'1.1 Combustión estacionaria'!$F$16:$F$48,'1.1 Combustión estacionaria'!$AE$16:$AE$48,"-")</f>
        <v>CNE BNE 2020</v>
      </c>
      <c r="L25" s="768" t="str" cm="1">
        <f t="array" ref="L25">_xlfn.XLOOKUP(E25&amp;G25,'1.1 Combustión estacionaria'!$B$16:$B$48&amp;'1.1 Combustión estacionaria'!$F$16:$F$48,'1.1 Combustión estacionaria'!$AF$16:$AF$48,"-")</f>
        <v>DEFRA 2023 (Fuel properties), Natural Gas</v>
      </c>
    </row>
    <row r="26" spans="2:12" ht="28.8">
      <c r="B26" s="764" t="s">
        <v>99</v>
      </c>
      <c r="C26" s="764" t="s">
        <v>12</v>
      </c>
      <c r="D26" s="764" t="s">
        <v>100</v>
      </c>
      <c r="E26" s="764" t="s">
        <v>113</v>
      </c>
      <c r="F26" s="764" t="s">
        <v>102</v>
      </c>
      <c r="G26" s="764" t="s">
        <v>103</v>
      </c>
      <c r="H26" s="771" cm="1">
        <f t="array" ref="H26">_xlfn.XLOOKUP(E26&amp;G26,'1.1 Combustión estacionaria'!$B$16:$B$48&amp;'1.1 Combustión estacionaria'!$F$16:$F$48,'1.1 Combustión estacionaria'!$AB$16:$AB$48,"-")</f>
        <v>0.97879439756339981</v>
      </c>
      <c r="I26" s="764" t="str" cm="1">
        <f t="array" ref="I26">_xlfn.XLOOKUP(E26&amp;G26,'1.1 Combustión estacionaria'!$B$16:$B$48&amp;'1.1 Combustión estacionaria'!$F$16:$F$48,'1.1 Combustión estacionaria'!$AC$16:$AC$48,"-")</f>
        <v>kgCO2e/metros cúbicos</v>
      </c>
      <c r="J26" s="764" t="str" cm="1">
        <f t="array" ref="J26">_xlfn.XLOOKUP(E26&amp;G26,'1.1 Combustión estacionaria'!$B$16:$B$48&amp;'1.1 Combustión estacionaria'!$F$16:$F$48,'1.1 Combustión estacionaria'!$AD$16:$AD$48,"-")</f>
        <v>IPCC 2006 (vol2; chapter 2) , Table 2.4</v>
      </c>
      <c r="K26" s="764" t="str" cm="1">
        <f t="array" ref="K26">_xlfn.XLOOKUP(E26&amp;G26,'1.1 Combustión estacionaria'!$B$16:$B$48&amp;'1.1 Combustión estacionaria'!$F$16:$F$48,'1.1 Combustión estacionaria'!$AE$16:$AE$48,"-")</f>
        <v>CNE BNE 2020</v>
      </c>
      <c r="L26" s="768" t="str" cm="1">
        <f t="array" ref="L26">_xlfn.XLOOKUP(E26&amp;G26,'1.1 Combustión estacionaria'!$B$16:$B$48&amp;'1.1 Combustión estacionaria'!$F$16:$F$48,'1.1 Combustión estacionaria'!$AF$16:$AF$48,"-")</f>
        <v>-</v>
      </c>
    </row>
    <row r="27" spans="2:12" ht="28.8">
      <c r="B27" s="764" t="s">
        <v>99</v>
      </c>
      <c r="C27" s="764" t="s">
        <v>12</v>
      </c>
      <c r="D27" s="764" t="s">
        <v>100</v>
      </c>
      <c r="E27" s="764" t="s">
        <v>113</v>
      </c>
      <c r="F27" s="764" t="s">
        <v>102</v>
      </c>
      <c r="G27" s="764" t="s">
        <v>104</v>
      </c>
      <c r="H27" s="772" cm="1">
        <f t="array" ref="H27">_xlfn.XLOOKUP(E27&amp;G27,'1.1 Combustión estacionaria'!$B$16:$B$48&amp;'1.1 Combustión estacionaria'!$F$16:$F$48,'1.1 Combustión estacionaria'!$AB$16:$AB$48,"-")</f>
        <v>9.787943975633998E-4</v>
      </c>
      <c r="I27" s="764" t="str" cm="1">
        <f t="array" ref="I27">_xlfn.XLOOKUP(E27&amp;G27,'1.1 Combustión estacionaria'!$B$16:$B$48&amp;'1.1 Combustión estacionaria'!$F$16:$F$48,'1.1 Combustión estacionaria'!$AC$16:$AC$48,"-")</f>
        <v>kgCO2e/litros</v>
      </c>
      <c r="J27" s="764" t="str" cm="1">
        <f t="array" ref="J27">_xlfn.XLOOKUP(E27&amp;G27,'1.1 Combustión estacionaria'!$B$16:$B$48&amp;'1.1 Combustión estacionaria'!$F$16:$F$48,'1.1 Combustión estacionaria'!$AD$16:$AD$48,"-")</f>
        <v>IPCC 2006 (vol2; chapter 2) , Table 2.4</v>
      </c>
      <c r="K27" s="764" t="str" cm="1">
        <f t="array" ref="K27">_xlfn.XLOOKUP(E27&amp;G27,'1.1 Combustión estacionaria'!$B$16:$B$48&amp;'1.1 Combustión estacionaria'!$F$16:$F$48,'1.1 Combustión estacionaria'!$AE$16:$AE$48,"-")</f>
        <v>CNE BNE 2020</v>
      </c>
      <c r="L27" s="768" t="str" cm="1">
        <f t="array" ref="L27">_xlfn.XLOOKUP(E27&amp;G27,'1.1 Combustión estacionaria'!$B$16:$B$48&amp;'1.1 Combustión estacionaria'!$F$16:$F$48,'1.1 Combustión estacionaria'!$AF$16:$AF$48,"-")</f>
        <v>-</v>
      </c>
    </row>
    <row r="28" spans="2:12" ht="28.8">
      <c r="B28" s="764" t="s">
        <v>99</v>
      </c>
      <c r="C28" s="764" t="s">
        <v>12</v>
      </c>
      <c r="D28" s="764" t="s">
        <v>100</v>
      </c>
      <c r="E28" s="764" t="s">
        <v>114</v>
      </c>
      <c r="F28" s="764" t="s">
        <v>102</v>
      </c>
      <c r="G28" s="764" t="s">
        <v>103</v>
      </c>
      <c r="H28" s="765" cm="1">
        <f t="array" ref="H28">_xlfn.XLOOKUP(E28&amp;G28,'1.1 Combustión estacionaria'!$B$16:$B$48&amp;'1.1 Combustión estacionaria'!$F$16:$F$48,'1.1 Combustión estacionaria'!$AB$16:$AB$48,"-")</f>
        <v>1586.5238092869004</v>
      </c>
      <c r="I28" s="764" t="str" cm="1">
        <f t="array" ref="I28">_xlfn.XLOOKUP(E28&amp;G28,'1.1 Combustión estacionaria'!$B$16:$B$48&amp;'1.1 Combustión estacionaria'!$F$16:$F$48,'1.1 Combustión estacionaria'!$AC$16:$AC$48,"-")</f>
        <v>kgCO2e/metros cúbicos</v>
      </c>
      <c r="J28" s="764" t="str" cm="1">
        <f t="array" ref="J28">_xlfn.XLOOKUP(E28&amp;G28,'1.1 Combustión estacionaria'!$B$16:$B$48&amp;'1.1 Combustión estacionaria'!$F$16:$F$48,'1.1 Combustión estacionaria'!$AD$16:$AD$48,"-")</f>
        <v>IPCC 2006 (vol2; chapter 2) , Table 2.4</v>
      </c>
      <c r="K28" s="764" t="str" cm="1">
        <f t="array" ref="K28">_xlfn.XLOOKUP(E28&amp;G28,'1.1 Combustión estacionaria'!$B$16:$B$48&amp;'1.1 Combustión estacionaria'!$F$16:$F$48,'1.1 Combustión estacionaria'!$AE$16:$AE$48,"-")</f>
        <v>CNE BNE 2020</v>
      </c>
      <c r="L28" s="768" t="str" cm="1">
        <f t="array" ref="L28">_xlfn.XLOOKUP(E28&amp;G28,'1.1 Combustión estacionaria'!$B$16:$B$48&amp;'1.1 Combustión estacionaria'!$F$16:$F$48,'1.1 Combustión estacionaria'!$AF$16:$AF$48,"-")</f>
        <v>-</v>
      </c>
    </row>
    <row r="29" spans="2:12" ht="28.8">
      <c r="B29" s="764" t="s">
        <v>99</v>
      </c>
      <c r="C29" s="764" t="s">
        <v>12</v>
      </c>
      <c r="D29" s="764" t="s">
        <v>100</v>
      </c>
      <c r="E29" s="764" t="s">
        <v>114</v>
      </c>
      <c r="F29" s="764" t="s">
        <v>102</v>
      </c>
      <c r="G29" s="764" t="s">
        <v>104</v>
      </c>
      <c r="H29" s="765" cm="1">
        <f t="array" ref="H29">_xlfn.XLOOKUP(E29&amp;G29,'1.1 Combustión estacionaria'!$B$16:$B$48&amp;'1.1 Combustión estacionaria'!$F$16:$F$48,'1.1 Combustión estacionaria'!$AB$16:$AB$48,"-")</f>
        <v>1.5865238092869003</v>
      </c>
      <c r="I29" s="764" t="str" cm="1">
        <f t="array" ref="I29">_xlfn.XLOOKUP(E29&amp;G29,'1.1 Combustión estacionaria'!$B$16:$B$48&amp;'1.1 Combustión estacionaria'!$F$16:$F$48,'1.1 Combustión estacionaria'!$AC$16:$AC$48,"-")</f>
        <v>kgCO2e/litros</v>
      </c>
      <c r="J29" s="764" t="str" cm="1">
        <f t="array" ref="J29">_xlfn.XLOOKUP(E29&amp;G29,'1.1 Combustión estacionaria'!$B$16:$B$48&amp;'1.1 Combustión estacionaria'!$F$16:$F$48,'1.1 Combustión estacionaria'!$AD$16:$AD$48,"-")</f>
        <v>IPCC 2006 (vol2; chapter 2) , Table 2.4</v>
      </c>
      <c r="K29" s="764" t="str" cm="1">
        <f t="array" ref="K29">_xlfn.XLOOKUP(E29&amp;G29,'1.1 Combustión estacionaria'!$B$16:$B$48&amp;'1.1 Combustión estacionaria'!$F$16:$F$48,'1.1 Combustión estacionaria'!$AE$16:$AE$48,"-")</f>
        <v>CNE BNE 2020</v>
      </c>
      <c r="L29" s="768" t="str" cm="1">
        <f t="array" ref="L29">_xlfn.XLOOKUP(E29&amp;G29,'1.1 Combustión estacionaria'!$B$16:$B$48&amp;'1.1 Combustión estacionaria'!$F$16:$F$48,'1.1 Combustión estacionaria'!$AF$16:$AF$48,"-")</f>
        <v>-</v>
      </c>
    </row>
    <row r="30" spans="2:12" ht="28.8">
      <c r="B30" s="764" t="s">
        <v>99</v>
      </c>
      <c r="C30" s="764" t="s">
        <v>12</v>
      </c>
      <c r="D30" s="764" t="s">
        <v>100</v>
      </c>
      <c r="E30" s="764" t="s">
        <v>115</v>
      </c>
      <c r="F30" s="764" t="s">
        <v>102</v>
      </c>
      <c r="G30" s="764" t="s">
        <v>103</v>
      </c>
      <c r="H30" s="765" cm="1">
        <f t="array" ref="H30">_xlfn.XLOOKUP(E30&amp;G30,'1.1 Combustión estacionaria'!$B$16:$B$48&amp;'1.1 Combustión estacionaria'!$F$16:$F$48,'1.1 Combustión estacionaria'!$AB$16:$AB$48,"-")</f>
        <v>1.9804687688971803</v>
      </c>
      <c r="I30" s="764" t="str" cm="1">
        <f t="array" ref="I30">_xlfn.XLOOKUP(E30&amp;G30,'1.1 Combustión estacionaria'!$B$16:$B$48&amp;'1.1 Combustión estacionaria'!$F$16:$F$48,'1.1 Combustión estacionaria'!$AC$16:$AC$48,"-")</f>
        <v>kgCO2e/metros cúbicos</v>
      </c>
      <c r="J30" s="764" t="str" cm="1">
        <f t="array" ref="J30">_xlfn.XLOOKUP(E30&amp;G30,'1.1 Combustión estacionaria'!$B$16:$B$48&amp;'1.1 Combustión estacionaria'!$F$16:$F$48,'1.1 Combustión estacionaria'!$AD$16:$AD$48,"-")</f>
        <v>IPCC 2006 (vol2; chapter 2) , Table 2.4</v>
      </c>
      <c r="K30" s="764" t="str" cm="1">
        <f t="array" ref="K30">_xlfn.XLOOKUP(E30&amp;G30,'1.1 Combustión estacionaria'!$B$16:$B$48&amp;'1.1 Combustión estacionaria'!$F$16:$F$48,'1.1 Combustión estacionaria'!$AE$16:$AE$48,"-")</f>
        <v>CNE BNE 2020</v>
      </c>
      <c r="L30" s="768" t="str" cm="1">
        <f t="array" ref="L30">_xlfn.XLOOKUP(E30&amp;G30,'1.1 Combustión estacionaria'!$B$16:$B$48&amp;'1.1 Combustión estacionaria'!$F$16:$F$48,'1.1 Combustión estacionaria'!$AF$16:$AF$48,"-")</f>
        <v>DEFRA 2023 (Fuel properties), Natural Gas</v>
      </c>
    </row>
    <row r="31" spans="2:12" ht="28.8">
      <c r="B31" s="764" t="s">
        <v>99</v>
      </c>
      <c r="C31" s="764" t="s">
        <v>12</v>
      </c>
      <c r="D31" s="764" t="s">
        <v>100</v>
      </c>
      <c r="E31" s="764" t="s">
        <v>116</v>
      </c>
      <c r="F31" s="764" t="s">
        <v>102</v>
      </c>
      <c r="G31" s="764" t="s">
        <v>103</v>
      </c>
      <c r="H31" s="765" cm="1">
        <f t="array" ref="H31">_xlfn.XLOOKUP(E31&amp;G31,'1.1 Combustión estacionaria'!$B$16:$B$48&amp;'1.1 Combustión estacionaria'!$F$16:$F$48,'1.1 Combustión estacionaria'!$AB$16:$AB$48,"-")</f>
        <v>2586.9397811495392</v>
      </c>
      <c r="I31" s="764" t="str" cm="1">
        <f t="array" ref="I31">_xlfn.XLOOKUP(E31&amp;G31,'1.1 Combustión estacionaria'!$B$16:$B$48&amp;'1.1 Combustión estacionaria'!$F$16:$F$48,'1.1 Combustión estacionaria'!$AC$16:$AC$48,"-")</f>
        <v>kgCO2e/metros cúbicos</v>
      </c>
      <c r="J31" s="764" t="str" cm="1">
        <f t="array" ref="J31">_xlfn.XLOOKUP(E31&amp;G31,'1.1 Combustión estacionaria'!$B$16:$B$48&amp;'1.1 Combustión estacionaria'!$F$16:$F$48,'1.1 Combustión estacionaria'!$AD$16:$AD$48,"-")</f>
        <v>IPCC 2006 (vol2; chapter 2) , Table 2.4</v>
      </c>
      <c r="K31" s="764" t="str" cm="1">
        <f t="array" ref="K31">_xlfn.XLOOKUP(E31&amp;G31,'1.1 Combustión estacionaria'!$B$16:$B$48&amp;'1.1 Combustión estacionaria'!$F$16:$F$48,'1.1 Combustión estacionaria'!$AE$16:$AE$48,"-")</f>
        <v>CNE BNE 2020</v>
      </c>
      <c r="L31" s="768" t="str" cm="1">
        <f t="array" ref="L31">_xlfn.XLOOKUP(E31&amp;G31,'1.1 Combustión estacionaria'!$B$16:$B$48&amp;'1.1 Combustión estacionaria'!$F$16:$F$48,'1.1 Combustión estacionaria'!$AF$16:$AF$48,"-")</f>
        <v>-</v>
      </c>
    </row>
    <row r="32" spans="2:12" ht="28.8">
      <c r="B32" s="764" t="s">
        <v>99</v>
      </c>
      <c r="C32" s="764" t="s">
        <v>12</v>
      </c>
      <c r="D32" s="764" t="s">
        <v>100</v>
      </c>
      <c r="E32" s="764" t="s">
        <v>116</v>
      </c>
      <c r="F32" s="764" t="s">
        <v>102</v>
      </c>
      <c r="G32" s="764" t="s">
        <v>104</v>
      </c>
      <c r="H32" s="765" cm="1">
        <f t="array" ref="H32">_xlfn.XLOOKUP(E32&amp;G32,'1.1 Combustión estacionaria'!$B$16:$B$48&amp;'1.1 Combustión estacionaria'!$F$16:$F$48,'1.1 Combustión estacionaria'!$AB$16:$AB$48,"-")</f>
        <v>2.5869397811495394</v>
      </c>
      <c r="I32" s="764" t="str" cm="1">
        <f t="array" ref="I32">_xlfn.XLOOKUP(E32&amp;G32,'1.1 Combustión estacionaria'!$B$16:$B$48&amp;'1.1 Combustión estacionaria'!$F$16:$F$48,'1.1 Combustión estacionaria'!$AC$16:$AC$48,"-")</f>
        <v>kgCO2e/litros</v>
      </c>
      <c r="J32" s="764" t="str" cm="1">
        <f t="array" ref="J32">_xlfn.XLOOKUP(E32&amp;G32,'1.1 Combustión estacionaria'!$B$16:$B$48&amp;'1.1 Combustión estacionaria'!$F$16:$F$48,'1.1 Combustión estacionaria'!$AD$16:$AD$48,"-")</f>
        <v>IPCC 2006 (vol2; chapter 2) , Table 2.4</v>
      </c>
      <c r="K32" s="764" t="str" cm="1">
        <f t="array" ref="K32">_xlfn.XLOOKUP(E32&amp;G32,'1.1 Combustión estacionaria'!$B$16:$B$48&amp;'1.1 Combustión estacionaria'!$F$16:$F$48,'1.1 Combustión estacionaria'!$AE$16:$AE$48,"-")</f>
        <v>CNE BNE 2020</v>
      </c>
      <c r="L32" s="768" t="str" cm="1">
        <f t="array" ref="L32">_xlfn.XLOOKUP(E32&amp;G32,'1.1 Combustión estacionaria'!$B$16:$B$48&amp;'1.1 Combustión estacionaria'!$F$16:$F$48,'1.1 Combustión estacionaria'!$AF$16:$AF$48,"-")</f>
        <v>-</v>
      </c>
    </row>
    <row r="33" spans="2:12" ht="28.8">
      <c r="B33" s="764" t="s">
        <v>99</v>
      </c>
      <c r="C33" s="764" t="s">
        <v>12</v>
      </c>
      <c r="D33" s="764" t="s">
        <v>100</v>
      </c>
      <c r="E33" s="764" t="s">
        <v>117</v>
      </c>
      <c r="F33" s="764" t="s">
        <v>102</v>
      </c>
      <c r="G33" s="764" t="s">
        <v>106</v>
      </c>
      <c r="H33" s="765" cm="1">
        <f t="array" ref="H33">_xlfn.XLOOKUP(E33&amp;G33,'1.1 Combustión estacionaria'!$B$16:$B$48&amp;'1.1 Combustión estacionaria'!$F$16:$F$48,'1.1 Combustión estacionaria'!$AB$16:$AB$48,"-")</f>
        <v>3155.342485014</v>
      </c>
      <c r="I33" s="764" t="str" cm="1">
        <f t="array" ref="I33">_xlfn.XLOOKUP(E33&amp;G33,'1.1 Combustión estacionaria'!$B$16:$B$48&amp;'1.1 Combustión estacionaria'!$F$16:$F$48,'1.1 Combustión estacionaria'!$AC$16:$AC$48,"-")</f>
        <v>kgCO2e/toneladas</v>
      </c>
      <c r="J33" s="764" t="str" cm="1">
        <f t="array" ref="J33">_xlfn.XLOOKUP(E33&amp;G33,'1.1 Combustión estacionaria'!$B$16:$B$48&amp;'1.1 Combustión estacionaria'!$F$16:$F$48,'1.1 Combustión estacionaria'!$AD$16:$AD$48,"-")</f>
        <v>IPCC 2006 (vol2; chapter 2) , Table 2.4</v>
      </c>
      <c r="K33" s="764" t="str" cm="1">
        <f t="array" ref="K33">_xlfn.XLOOKUP(E33&amp;G33,'1.1 Combustión estacionaria'!$B$16:$B$48&amp;'1.1 Combustión estacionaria'!$F$16:$F$48,'1.1 Combustión estacionaria'!$AE$16:$AE$48,"-")</f>
        <v>CNE BNE 2020</v>
      </c>
      <c r="L33" s="768" t="str" cm="1">
        <f t="array" ref="L33">_xlfn.XLOOKUP(E33&amp;G33,'1.1 Combustión estacionaria'!$B$16:$B$48&amp;'1.1 Combustión estacionaria'!$F$16:$F$48,'1.1 Combustión estacionaria'!$AF$16:$AF$48,"-")</f>
        <v>-</v>
      </c>
    </row>
    <row r="34" spans="2:12" ht="28.8">
      <c r="B34" s="764" t="s">
        <v>99</v>
      </c>
      <c r="C34" s="764" t="s">
        <v>12</v>
      </c>
      <c r="D34" s="764" t="s">
        <v>100</v>
      </c>
      <c r="E34" s="764" t="s">
        <v>117</v>
      </c>
      <c r="F34" s="764" t="s">
        <v>102</v>
      </c>
      <c r="G34" s="764" t="s">
        <v>107</v>
      </c>
      <c r="H34" s="771" cm="1">
        <f t="array" ref="H34">_xlfn.XLOOKUP(E34&amp;G34,'1.1 Combustión estacionaria'!$B$16:$B$48&amp;'1.1 Combustión estacionaria'!$F$16:$F$48,'1.1 Combustión estacionaria'!$AB$16:$AB$48,"-")</f>
        <v>3.1553424850140002</v>
      </c>
      <c r="I34" s="764" t="str" cm="1">
        <f t="array" ref="I34">_xlfn.XLOOKUP(E34&amp;G34,'1.1 Combustión estacionaria'!$B$16:$B$48&amp;'1.1 Combustión estacionaria'!$F$16:$F$48,'1.1 Combustión estacionaria'!$AC$16:$AC$48,"-")</f>
        <v>kgCO2e/kilogramos</v>
      </c>
      <c r="J34" s="764" t="str" cm="1">
        <f t="array" ref="J34">_xlfn.XLOOKUP(E34&amp;G34,'1.1 Combustión estacionaria'!$B$16:$B$48&amp;'1.1 Combustión estacionaria'!$F$16:$F$48,'1.1 Combustión estacionaria'!$AD$16:$AD$48,"-")</f>
        <v>IPCC 2006 (vol2; chapter 2) , Table 2.4</v>
      </c>
      <c r="K34" s="764" t="str" cm="1">
        <f t="array" ref="K34">_xlfn.XLOOKUP(E34&amp;G34,'1.1 Combustión estacionaria'!$B$16:$B$48&amp;'1.1 Combustión estacionaria'!$F$16:$F$48,'1.1 Combustión estacionaria'!$AE$16:$AE$48,"-")</f>
        <v>CNE BNE 2020</v>
      </c>
      <c r="L34" s="768" t="str" cm="1">
        <f t="array" ref="L34">_xlfn.XLOOKUP(E34&amp;G34,'1.1 Combustión estacionaria'!$B$16:$B$48&amp;'1.1 Combustión estacionaria'!$F$16:$F$48,'1.1 Combustión estacionaria'!$AF$16:$AF$48,"-")</f>
        <v>-</v>
      </c>
    </row>
    <row r="35" spans="2:12" ht="28.8">
      <c r="B35" s="764" t="s">
        <v>99</v>
      </c>
      <c r="C35" s="764" t="s">
        <v>12</v>
      </c>
      <c r="D35" s="764" t="s">
        <v>100</v>
      </c>
      <c r="E35" s="764" t="s">
        <v>117</v>
      </c>
      <c r="F35" s="764" t="s">
        <v>102</v>
      </c>
      <c r="G35" s="764" t="s">
        <v>108</v>
      </c>
      <c r="H35" s="772" cm="1">
        <f t="array" ref="H35">_xlfn.XLOOKUP(E35&amp;G35,'1.1 Combustión estacionaria'!$B$16:$B$48&amp;'1.1 Combustión estacionaria'!$F$16:$F$48,'1.1 Combustión estacionaria'!$AB$16:$AB$48,"-")</f>
        <v>3.1553424850140001E-3</v>
      </c>
      <c r="I35" s="764" t="str" cm="1">
        <f t="array" ref="I35">_xlfn.XLOOKUP(E35&amp;G35,'1.1 Combustión estacionaria'!$B$16:$B$48&amp;'1.1 Combustión estacionaria'!$F$16:$F$48,'1.1 Combustión estacionaria'!$AC$16:$AC$48,"-")</f>
        <v>kgCO2e/gramos</v>
      </c>
      <c r="J35" s="764" t="str" cm="1">
        <f t="array" ref="J35">_xlfn.XLOOKUP(E35&amp;G35,'1.1 Combustión estacionaria'!$B$16:$B$48&amp;'1.1 Combustión estacionaria'!$F$16:$F$48,'1.1 Combustión estacionaria'!$AD$16:$AD$48,"-")</f>
        <v>IPCC 2006 (vol2; chapter 2) , Table 2.4</v>
      </c>
      <c r="K35" s="764" t="str" cm="1">
        <f t="array" ref="K35">_xlfn.XLOOKUP(E35&amp;G35,'1.1 Combustión estacionaria'!$B$16:$B$48&amp;'1.1 Combustión estacionaria'!$F$16:$F$48,'1.1 Combustión estacionaria'!$AE$16:$AE$48,"-")</f>
        <v>CNE BNE 2020</v>
      </c>
      <c r="L35" s="768" t="str" cm="1">
        <f t="array" ref="L35">_xlfn.XLOOKUP(E35&amp;G35,'1.1 Combustión estacionaria'!$B$16:$B$48&amp;'1.1 Combustión estacionaria'!$F$16:$F$48,'1.1 Combustión estacionaria'!$AF$16:$AF$48,"-")</f>
        <v>-</v>
      </c>
    </row>
    <row r="36" spans="2:12" ht="28.8">
      <c r="B36" s="764" t="s">
        <v>99</v>
      </c>
      <c r="C36" s="764" t="s">
        <v>12</v>
      </c>
      <c r="D36" s="764" t="s">
        <v>100</v>
      </c>
      <c r="E36" s="764" t="s">
        <v>118</v>
      </c>
      <c r="F36" s="764" t="s">
        <v>102</v>
      </c>
      <c r="G36" s="764" t="s">
        <v>103</v>
      </c>
      <c r="H36" s="765" cm="1">
        <f t="array" ref="H36">_xlfn.XLOOKUP(E36&amp;G36,'1.1 Combustión estacionaria'!$B$16:$B$48&amp;'1.1 Combustión estacionaria'!$F$16:$F$48,'1.1 Combustión estacionaria'!$AB$16:$AB$48,"-")</f>
        <v>2714.5332574466397</v>
      </c>
      <c r="I36" s="764" t="str" cm="1">
        <f t="array" ref="I36">_xlfn.XLOOKUP(E36&amp;G36,'1.1 Combustión estacionaria'!$B$16:$B$48&amp;'1.1 Combustión estacionaria'!$F$16:$F$48,'1.1 Combustión estacionaria'!$AC$16:$AC$48,"-")</f>
        <v>kgCO2e/metros cúbicos</v>
      </c>
      <c r="J36" s="764" t="str" cm="1">
        <f t="array" ref="J36">_xlfn.XLOOKUP(E36&amp;G36,'1.1 Combustión estacionaria'!$B$16:$B$48&amp;'1.1 Combustión estacionaria'!$F$16:$F$48,'1.1 Combustión estacionaria'!$AD$16:$AD$48,"-")</f>
        <v>IPCC 2006 (vol2; chapter 2) , Table 2.4</v>
      </c>
      <c r="K36" s="764" t="str" cm="1">
        <f t="array" ref="K36">_xlfn.XLOOKUP(E36&amp;G36,'1.1 Combustión estacionaria'!$B$16:$B$48&amp;'1.1 Combustión estacionaria'!$F$16:$F$48,'1.1 Combustión estacionaria'!$AE$16:$AE$48,"-")</f>
        <v>CNE BNE 2020</v>
      </c>
      <c r="L36" s="768" t="str" cm="1">
        <f t="array" ref="L36">_xlfn.XLOOKUP(E36&amp;G36,'1.1 Combustión estacionaria'!$B$16:$B$48&amp;'1.1 Combustión estacionaria'!$F$16:$F$48,'1.1 Combustión estacionaria'!$AF$16:$AF$48,"-")</f>
        <v>-</v>
      </c>
    </row>
    <row r="37" spans="2:12" ht="28.8">
      <c r="B37" s="764" t="s">
        <v>99</v>
      </c>
      <c r="C37" s="764" t="s">
        <v>12</v>
      </c>
      <c r="D37" s="764" t="s">
        <v>100</v>
      </c>
      <c r="E37" s="764" t="s">
        <v>118</v>
      </c>
      <c r="F37" s="764" t="s">
        <v>102</v>
      </c>
      <c r="G37" s="764" t="s">
        <v>104</v>
      </c>
      <c r="H37" s="765" cm="1">
        <f t="array" ref="H37">_xlfn.XLOOKUP(E37&amp;G37,'1.1 Combustión estacionaria'!$B$16:$B$48&amp;'1.1 Combustión estacionaria'!$F$16:$F$48,'1.1 Combustión estacionaria'!$AB$16:$AB$48,"-")</f>
        <v>2.7145332574466399</v>
      </c>
      <c r="I37" s="764" t="str" cm="1">
        <f t="array" ref="I37">_xlfn.XLOOKUP(E37&amp;G37,'1.1 Combustión estacionaria'!$B$16:$B$48&amp;'1.1 Combustión estacionaria'!$F$16:$F$48,'1.1 Combustión estacionaria'!$AC$16:$AC$48,"-")</f>
        <v>kgCO2e/litros</v>
      </c>
      <c r="J37" s="764" t="str" cm="1">
        <f t="array" ref="J37">_xlfn.XLOOKUP(E37&amp;G37,'1.1 Combustión estacionaria'!$B$16:$B$48&amp;'1.1 Combustión estacionaria'!$F$16:$F$48,'1.1 Combustión estacionaria'!$AD$16:$AD$48,"-")</f>
        <v>IPCC 2006 (vol2; chapter 2) , Table 2.4</v>
      </c>
      <c r="K37" s="764" t="str" cm="1">
        <f t="array" ref="K37">_xlfn.XLOOKUP(E37&amp;G37,'1.1 Combustión estacionaria'!$B$16:$B$48&amp;'1.1 Combustión estacionaria'!$F$16:$F$48,'1.1 Combustión estacionaria'!$AE$16:$AE$48,"-")</f>
        <v>CNE BNE 2020</v>
      </c>
      <c r="L37" s="768" t="str" cm="1">
        <f t="array" ref="L37">_xlfn.XLOOKUP(E37&amp;G37,'1.1 Combustión estacionaria'!$B$16:$B$48&amp;'1.1 Combustión estacionaria'!$F$16:$F$48,'1.1 Combustión estacionaria'!$AF$16:$AF$48,"-")</f>
        <v>-</v>
      </c>
    </row>
    <row r="38" spans="2:12" ht="28.8">
      <c r="B38" s="764" t="s">
        <v>99</v>
      </c>
      <c r="C38" s="764" t="s">
        <v>12</v>
      </c>
      <c r="D38" s="764" t="s">
        <v>100</v>
      </c>
      <c r="E38" s="764" t="s">
        <v>119</v>
      </c>
      <c r="F38" s="764" t="s">
        <v>102</v>
      </c>
      <c r="G38" s="764" t="s">
        <v>103</v>
      </c>
      <c r="H38" s="765" cm="1">
        <f t="array" ref="H38">_xlfn.XLOOKUP(E38&amp;G38,'1.1 Combustión estacionaria'!$B$16:$B$48&amp;'1.1 Combustión estacionaria'!$F$16:$F$48,'1.1 Combustión estacionaria'!$AB$16:$AB$48,"-")</f>
        <v>3013.5062872674898</v>
      </c>
      <c r="I38" s="764" t="str" cm="1">
        <f t="array" ref="I38">_xlfn.XLOOKUP(E38&amp;G38,'1.1 Combustión estacionaria'!$B$16:$B$48&amp;'1.1 Combustión estacionaria'!$F$16:$F$48,'1.1 Combustión estacionaria'!$AC$16:$AC$48,"-")</f>
        <v>kgCO2e/metros cúbicos</v>
      </c>
      <c r="J38" s="764" t="str" cm="1">
        <f t="array" ref="J38">_xlfn.XLOOKUP(E38&amp;G38,'1.1 Combustión estacionaria'!$B$16:$B$48&amp;'1.1 Combustión estacionaria'!$F$16:$F$48,'1.1 Combustión estacionaria'!$AD$16:$AD$48,"-")</f>
        <v>IPCC 2006 (vol2; chapter 2) , Table 2.4</v>
      </c>
      <c r="K38" s="764" t="str" cm="1">
        <f t="array" ref="K38">_xlfn.XLOOKUP(E38&amp;G38,'1.1 Combustión estacionaria'!$B$16:$B$48&amp;'1.1 Combustión estacionaria'!$F$16:$F$48,'1.1 Combustión estacionaria'!$AE$16:$AE$48,"-")</f>
        <v>CNE BNE 2020</v>
      </c>
      <c r="L38" s="768" t="str" cm="1">
        <f t="array" ref="L38">_xlfn.XLOOKUP(E38&amp;G38,'1.1 Combustión estacionaria'!$B$16:$B$48&amp;'1.1 Combustión estacionaria'!$F$16:$F$48,'1.1 Combustión estacionaria'!$AF$16:$AF$48,"-")</f>
        <v>-</v>
      </c>
    </row>
    <row r="39" spans="2:12" ht="28.8">
      <c r="B39" s="764" t="s">
        <v>99</v>
      </c>
      <c r="C39" s="764" t="s">
        <v>12</v>
      </c>
      <c r="D39" s="764" t="s">
        <v>100</v>
      </c>
      <c r="E39" s="764" t="s">
        <v>119</v>
      </c>
      <c r="F39" s="764" t="s">
        <v>102</v>
      </c>
      <c r="G39" s="764" t="s">
        <v>104</v>
      </c>
      <c r="H39" s="765" cm="1">
        <f t="array" ref="H39">_xlfn.XLOOKUP(E39&amp;G39,'1.1 Combustión estacionaria'!$B$16:$B$48&amp;'1.1 Combustión estacionaria'!$F$16:$F$48,'1.1 Combustión estacionaria'!$AB$16:$AB$48,"-")</f>
        <v>3.0135062872674898</v>
      </c>
      <c r="I39" s="764" t="str" cm="1">
        <f t="array" ref="I39">_xlfn.XLOOKUP(E39&amp;G39,'1.1 Combustión estacionaria'!$B$16:$B$48&amp;'1.1 Combustión estacionaria'!$F$16:$F$48,'1.1 Combustión estacionaria'!$AC$16:$AC$48,"-")</f>
        <v>kgCO2e/litros</v>
      </c>
      <c r="J39" s="764" t="str" cm="1">
        <f t="array" ref="J39">_xlfn.XLOOKUP(E39&amp;G39,'1.1 Combustión estacionaria'!$B$16:$B$48&amp;'1.1 Combustión estacionaria'!$F$16:$F$48,'1.1 Combustión estacionaria'!$AD$16:$AD$48,"-")</f>
        <v>IPCC 2006 (vol2; chapter 2) , Table 2.4</v>
      </c>
      <c r="K39" s="764" t="str" cm="1">
        <f t="array" ref="K39">_xlfn.XLOOKUP(E39&amp;G39,'1.1 Combustión estacionaria'!$B$16:$B$48&amp;'1.1 Combustión estacionaria'!$F$16:$F$48,'1.1 Combustión estacionaria'!$AE$16:$AE$48,"-")</f>
        <v>CNE BNE 2020</v>
      </c>
      <c r="L39" s="768" t="str" cm="1">
        <f t="array" ref="L39">_xlfn.XLOOKUP(E39&amp;G39,'1.1 Combustión estacionaria'!$B$16:$B$48&amp;'1.1 Combustión estacionaria'!$F$16:$F$48,'1.1 Combustión estacionaria'!$AF$16:$AF$48,"-")</f>
        <v>-</v>
      </c>
    </row>
    <row r="40" spans="2:12" ht="28.8">
      <c r="B40" s="764" t="s">
        <v>99</v>
      </c>
      <c r="C40" s="764" t="s">
        <v>12</v>
      </c>
      <c r="D40" s="764" t="s">
        <v>100</v>
      </c>
      <c r="E40" s="764" t="s">
        <v>120</v>
      </c>
      <c r="F40" s="764" t="s">
        <v>102</v>
      </c>
      <c r="G40" s="764" t="s">
        <v>103</v>
      </c>
      <c r="H40" s="765" cm="1">
        <f t="array" ref="H40">_xlfn.XLOOKUP(E40&amp;G40,'1.1 Combustión estacionaria'!$B$16:$B$48&amp;'1.1 Combustión estacionaria'!$F$16:$F$48,'1.1 Combustión estacionaria'!$AB$16:$AB$48,"-")</f>
        <v>3072.02097245715</v>
      </c>
      <c r="I40" s="764" t="str" cm="1">
        <f t="array" ref="I40">_xlfn.XLOOKUP(E40&amp;G40,'1.1 Combustión estacionaria'!$B$16:$B$48&amp;'1.1 Combustión estacionaria'!$F$16:$F$48,'1.1 Combustión estacionaria'!$AC$16:$AC$48,"-")</f>
        <v>kgCO2e/metros cúbicos</v>
      </c>
      <c r="J40" s="764" t="str" cm="1">
        <f t="array" ref="J40">_xlfn.XLOOKUP(E40&amp;G40,'1.1 Combustión estacionaria'!$B$16:$B$48&amp;'1.1 Combustión estacionaria'!$F$16:$F$48,'1.1 Combustión estacionaria'!$AD$16:$AD$48,"-")</f>
        <v>IPCC 2006 (vol2; chapter 2) , Table 2.4</v>
      </c>
      <c r="K40" s="764" t="str" cm="1">
        <f t="array" ref="K40">_xlfn.XLOOKUP(E40&amp;G40,'1.1 Combustión estacionaria'!$B$16:$B$48&amp;'1.1 Combustión estacionaria'!$F$16:$F$48,'1.1 Combustión estacionaria'!$AE$16:$AE$48,"-")</f>
        <v>CNE BNE 2020</v>
      </c>
      <c r="L40" s="768" t="str" cm="1">
        <f t="array" ref="L40">_xlfn.XLOOKUP(E40&amp;G40,'1.1 Combustión estacionaria'!$B$16:$B$48&amp;'1.1 Combustión estacionaria'!$F$16:$F$48,'1.1 Combustión estacionaria'!$AF$16:$AF$48,"-")</f>
        <v>-</v>
      </c>
    </row>
    <row r="41" spans="2:12" ht="28.8">
      <c r="B41" s="764" t="s">
        <v>99</v>
      </c>
      <c r="C41" s="764" t="s">
        <v>12</v>
      </c>
      <c r="D41" s="764" t="s">
        <v>100</v>
      </c>
      <c r="E41" s="764" t="s">
        <v>120</v>
      </c>
      <c r="F41" s="764" t="s">
        <v>102</v>
      </c>
      <c r="G41" s="764" t="s">
        <v>104</v>
      </c>
      <c r="H41" s="765" cm="1">
        <f t="array" ref="H41">_xlfn.XLOOKUP(E41&amp;G41,'1.1 Combustión estacionaria'!$B$16:$B$48&amp;'1.1 Combustión estacionaria'!$F$16:$F$48,'1.1 Combustión estacionaria'!$AB$16:$AB$48,"-")</f>
        <v>3.0720209724571501</v>
      </c>
      <c r="I41" s="764" t="str" cm="1">
        <f t="array" ref="I41">_xlfn.XLOOKUP(E41&amp;G41,'1.1 Combustión estacionaria'!$B$16:$B$48&amp;'1.1 Combustión estacionaria'!$F$16:$F$48,'1.1 Combustión estacionaria'!$AC$16:$AC$48,"-")</f>
        <v>kgCO2e/litros</v>
      </c>
      <c r="J41" s="764" t="str" cm="1">
        <f t="array" ref="J41">_xlfn.XLOOKUP(E41&amp;G41,'1.1 Combustión estacionaria'!$B$16:$B$48&amp;'1.1 Combustión estacionaria'!$F$16:$F$48,'1.1 Combustión estacionaria'!$AD$16:$AD$48,"-")</f>
        <v>IPCC 2006 (vol2; chapter 2) , Table 2.4</v>
      </c>
      <c r="K41" s="764" t="str" cm="1">
        <f t="array" ref="K41">_xlfn.XLOOKUP(E41&amp;G41,'1.1 Combustión estacionaria'!$B$16:$B$48&amp;'1.1 Combustión estacionaria'!$F$16:$F$48,'1.1 Combustión estacionaria'!$AE$16:$AE$48,"-")</f>
        <v>CNE BNE 2020</v>
      </c>
      <c r="L41" s="768" t="str" cm="1">
        <f t="array" ref="L41">_xlfn.XLOOKUP(E41&amp;G41,'1.1 Combustión estacionaria'!$B$16:$B$48&amp;'1.1 Combustión estacionaria'!$F$16:$F$48,'1.1 Combustión estacionaria'!$AF$16:$AF$48,"-")</f>
        <v>-</v>
      </c>
    </row>
    <row r="42" spans="2:12" ht="28.8">
      <c r="B42" s="764" t="s">
        <v>99</v>
      </c>
      <c r="C42" s="764" t="s">
        <v>16</v>
      </c>
      <c r="D42" s="764" t="s">
        <v>121</v>
      </c>
      <c r="E42" s="764" t="s">
        <v>122</v>
      </c>
      <c r="F42" s="764" t="s">
        <v>102</v>
      </c>
      <c r="G42" s="764" t="s">
        <v>103</v>
      </c>
      <c r="H42" s="765" cm="1">
        <f t="array" ref="H42">_xlfn.XLOOKUP(E42&amp;G42,'1.2 Combustión móvil'!$B$16:$B$24&amp;'1.2 Combustión móvil'!$F$16:$F$24,'1.2 Combustión móvil'!$AB$16:$AB$24,"-")</f>
        <v>2740.1603392865518</v>
      </c>
      <c r="I42" s="764" t="str" cm="1">
        <f t="array" ref="I42">_xlfn.XLOOKUP(E42&amp;G42,'1.2 Combustión móvil'!$B$16:$B$24&amp;'1.2 Combustión móvil'!$F$16:$F$24,'1.2 Combustión móvil'!$AC$16:$AC$24,"-")</f>
        <v>kgCO2e/metros cúbicos</v>
      </c>
      <c r="J42" s="764" t="str" cm="1">
        <f t="array" ref="J42">_xlfn.XLOOKUP(E42&amp;G42,'1.2 Combustión móvil'!$B$16:$B$24&amp;'1.2 Combustión móvil'!$F$16:$F$24,'1.2 Combustión móvil'!$AD$16:$AD$24,"-")</f>
        <v>IPCC 2006 (vol2; chapter 3) , Table 3.2.1 and Table 3.2.2</v>
      </c>
      <c r="K42" s="764" t="str" cm="1">
        <f t="array" ref="K42">_xlfn.XLOOKUP(E42&amp;G42,'1.2 Combustión móvil'!$B$16:$B$24&amp;'1.2 Combustión móvil'!$F$16:$F$24,'1.2 Combustión móvil'!$AE$16:$AE$24,"-")</f>
        <v>CNE BNE 2020</v>
      </c>
      <c r="L42" s="768" t="str" cm="1">
        <f t="array" ref="L42">_xlfn.XLOOKUP(E42&amp;G42,'1.2 Combustión móvil'!$B$16:$B$24&amp;'1.2 Combustión móvil'!$F$16:$F$24,'1.2 Combustión móvil'!$AF$16:$AF$24,"-")</f>
        <v>-</v>
      </c>
    </row>
    <row r="43" spans="2:12" ht="28.8">
      <c r="B43" s="764" t="s">
        <v>99</v>
      </c>
      <c r="C43" s="764" t="s">
        <v>16</v>
      </c>
      <c r="D43" s="764" t="s">
        <v>121</v>
      </c>
      <c r="E43" s="764" t="s">
        <v>122</v>
      </c>
      <c r="F43" s="764" t="s">
        <v>102</v>
      </c>
      <c r="G43" s="764" t="s">
        <v>104</v>
      </c>
      <c r="H43" s="765" cm="1">
        <f t="array" ref="H43">_xlfn.XLOOKUP(E43&amp;G43,'1.2 Combustión móvil'!$B$16:$B$24&amp;'1.2 Combustión móvil'!$F$16:$F$24,'1.2 Combustión móvil'!$AB$16:$AB$24,"-")</f>
        <v>2.7401603392865517</v>
      </c>
      <c r="I43" s="764" t="str" cm="1">
        <f t="array" ref="I43">_xlfn.XLOOKUP(E43&amp;G43,'1.2 Combustión móvil'!$B$16:$B$24&amp;'1.2 Combustión móvil'!$F$16:$F$24,'1.2 Combustión móvil'!$AC$16:$AC$24,"-")</f>
        <v>kgCO2e/litros</v>
      </c>
      <c r="J43" s="764" t="str" cm="1">
        <f t="array" ref="J43">_xlfn.XLOOKUP(E43&amp;G43,'1.2 Combustión móvil'!$B$16:$B$24&amp;'1.2 Combustión móvil'!$F$16:$F$24,'1.2 Combustión móvil'!$AD$16:$AD$24,"-")</f>
        <v>IPCC 2006 (vol2; chapter 3) , Table 3.2.1 and Table 3.2.2</v>
      </c>
      <c r="K43" s="764" t="str" cm="1">
        <f t="array" ref="K43">_xlfn.XLOOKUP(E43&amp;G43,'1.2 Combustión móvil'!$B$16:$B$24&amp;'1.2 Combustión móvil'!$F$16:$F$24,'1.2 Combustión móvil'!$AE$16:$AE$24,"-")</f>
        <v>CNE BNE 2020</v>
      </c>
      <c r="L43" s="768" t="str" cm="1">
        <f t="array" ref="L43">_xlfn.XLOOKUP(E43&amp;G43,'1.2 Combustión móvil'!$B$16:$B$24&amp;'1.2 Combustión móvil'!$F$16:$F$24,'1.2 Combustión móvil'!$AF$16:$AF$24,"-")</f>
        <v>-</v>
      </c>
    </row>
    <row r="44" spans="2:12" ht="28.8">
      <c r="B44" s="764" t="s">
        <v>99</v>
      </c>
      <c r="C44" s="764" t="s">
        <v>16</v>
      </c>
      <c r="D44" s="764" t="s">
        <v>121</v>
      </c>
      <c r="E44" s="764" t="s">
        <v>123</v>
      </c>
      <c r="F44" s="764" t="s">
        <v>102</v>
      </c>
      <c r="G44" s="764" t="s">
        <v>103</v>
      </c>
      <c r="H44" s="765" cm="1">
        <f t="array" ref="H44">_xlfn.XLOOKUP(E44&amp;G44,'1.2 Combustión móvil'!$B$16:$B$24&amp;'1.2 Combustión móvil'!$F$16:$F$24,'1.2 Combustión móvil'!$AB$16:$AB$24,"-")</f>
        <v>1627.2109799154002</v>
      </c>
      <c r="I44" s="764" t="str" cm="1">
        <f t="array" ref="I44">_xlfn.XLOOKUP(E44&amp;G44,'1.2 Combustión móvil'!$B$16:$B$24&amp;'1.2 Combustión móvil'!$F$16:$F$24,'1.2 Combustión móvil'!$AC$16:$AC$24,"-")</f>
        <v>kgCO2e/metros cúbicos</v>
      </c>
      <c r="J44" s="764" t="str" cm="1">
        <f t="array" ref="J44">_xlfn.XLOOKUP(E44&amp;G44,'1.2 Combustión móvil'!$B$16:$B$24&amp;'1.2 Combustión móvil'!$F$16:$F$24,'1.2 Combustión móvil'!$AD$16:$AD$24,"-")</f>
        <v>IPCC 2006 (vol2; chapter 3) , Table 3.2.1 and Table 3.2.2</v>
      </c>
      <c r="K44" s="764" t="str" cm="1">
        <f t="array" ref="K44">_xlfn.XLOOKUP(E44&amp;G44,'1.2 Combustión móvil'!$B$16:$B$24&amp;'1.2 Combustión móvil'!$F$16:$F$24,'1.2 Combustión móvil'!$AE$16:$AE$24,"-")</f>
        <v>CNE BNE 2020</v>
      </c>
      <c r="L44" s="768" t="str" cm="1">
        <f t="array" ref="L44">_xlfn.XLOOKUP(E44&amp;G44,'1.2 Combustión móvil'!$B$16:$B$24&amp;'1.2 Combustión móvil'!$F$16:$F$24,'1.2 Combustión móvil'!$AF$16:$AF$24,"-")</f>
        <v>-</v>
      </c>
    </row>
    <row r="45" spans="2:12" ht="28.8">
      <c r="B45" s="764" t="s">
        <v>99</v>
      </c>
      <c r="C45" s="764" t="s">
        <v>16</v>
      </c>
      <c r="D45" s="764" t="s">
        <v>121</v>
      </c>
      <c r="E45" s="764" t="s">
        <v>123</v>
      </c>
      <c r="F45" s="764" t="s">
        <v>102</v>
      </c>
      <c r="G45" s="764" t="s">
        <v>104</v>
      </c>
      <c r="H45" s="765" cm="1">
        <f t="array" ref="H45">_xlfn.XLOOKUP(E45&amp;G45,'1.2 Combustión móvil'!$B$16:$B$24&amp;'1.2 Combustión móvil'!$F$16:$F$24,'1.2 Combustión móvil'!$AB$16:$AB$24,"-")</f>
        <v>1.6272109799154002</v>
      </c>
      <c r="I45" s="764" t="str" cm="1">
        <f t="array" ref="I45">_xlfn.XLOOKUP(E45&amp;G45,'1.2 Combustión móvil'!$B$16:$B$24&amp;'1.2 Combustión móvil'!$F$16:$F$24,'1.2 Combustión móvil'!$AC$16:$AC$24,"-")</f>
        <v>kgCO2e/litros</v>
      </c>
      <c r="J45" s="764" t="str" cm="1">
        <f t="array" ref="J45">_xlfn.XLOOKUP(E45&amp;G45,'1.2 Combustión móvil'!$B$16:$B$24&amp;'1.2 Combustión móvil'!$F$16:$F$24,'1.2 Combustión móvil'!$AD$16:$AD$24,"-")</f>
        <v>IPCC 2006 (vol2; chapter 3) , Table 3.2.1 and Table 3.2.2</v>
      </c>
      <c r="K45" s="764" t="str" cm="1">
        <f t="array" ref="K45">_xlfn.XLOOKUP(E45&amp;G45,'1.2 Combustión móvil'!$B$16:$B$24&amp;'1.2 Combustión móvil'!$F$16:$F$24,'1.2 Combustión móvil'!$AE$16:$AE$24,"-")</f>
        <v>CNE BNE 2020</v>
      </c>
      <c r="L45" s="768" t="str" cm="1">
        <f t="array" ref="L45">_xlfn.XLOOKUP(E45&amp;G45,'1.2 Combustión móvil'!$B$16:$B$24&amp;'1.2 Combustión móvil'!$F$16:$F$24,'1.2 Combustión móvil'!$AF$16:$AF$24,"-")</f>
        <v>-</v>
      </c>
    </row>
    <row r="46" spans="2:12" ht="28.8">
      <c r="B46" s="764" t="s">
        <v>99</v>
      </c>
      <c r="C46" s="764" t="s">
        <v>16</v>
      </c>
      <c r="D46" s="764" t="s">
        <v>121</v>
      </c>
      <c r="E46" s="764" t="s">
        <v>115</v>
      </c>
      <c r="F46" s="764" t="s">
        <v>102</v>
      </c>
      <c r="G46" s="764" t="s">
        <v>103</v>
      </c>
      <c r="H46" s="765" cm="1">
        <f t="array" ref="H46">_xlfn.XLOOKUP(E46&amp;G46,'1.2 Combustión móvil'!$B$16:$B$24&amp;'1.2 Combustión móvil'!$F$16:$F$24,'1.2 Combustión móvil'!$AB$16:$AB$24,"-")</f>
        <v>2.0932607884813201</v>
      </c>
      <c r="I46" s="764" t="str" cm="1">
        <f t="array" ref="I46">_xlfn.XLOOKUP(E46&amp;G46,'1.2 Combustión móvil'!$B$16:$B$24&amp;'1.2 Combustión móvil'!$F$16:$F$24,'1.2 Combustión móvil'!$AC$16:$AC$24,"-")</f>
        <v>kgCO2e/metros cúbicos</v>
      </c>
      <c r="J46" s="764" t="str" cm="1">
        <f t="array" ref="J46">_xlfn.XLOOKUP(E46&amp;G46,'1.2 Combustión móvil'!$B$16:$B$24&amp;'1.2 Combustión móvil'!$F$16:$F$24,'1.2 Combustión móvil'!$AD$16:$AD$24,"-")</f>
        <v>IPCC 2006 (vol2; chapter 3) , Table 3.2.1 and Table 3.2.2</v>
      </c>
      <c r="K46" s="764" t="str" cm="1">
        <f t="array" ref="K46">_xlfn.XLOOKUP(E46&amp;G46,'1.2 Combustión móvil'!$B$16:$B$24&amp;'1.2 Combustión móvil'!$F$16:$F$24,'1.2 Combustión móvil'!$AE$16:$AE$24,"-")</f>
        <v>CNE BNE 2020</v>
      </c>
      <c r="L46" s="768" t="str" cm="1">
        <f t="array" ref="L46">_xlfn.XLOOKUP(E46&amp;G46,'1.2 Combustión móvil'!$B$16:$B$24&amp;'1.2 Combustión móvil'!$F$16:$F$24,'1.2 Combustión móvil'!$AF$16:$AF$24,"-")</f>
        <v>-</v>
      </c>
    </row>
    <row r="47" spans="2:12" ht="28.8">
      <c r="B47" s="764" t="s">
        <v>99</v>
      </c>
      <c r="C47" s="764" t="s">
        <v>16</v>
      </c>
      <c r="D47" s="764" t="s">
        <v>121</v>
      </c>
      <c r="E47" s="764" t="s">
        <v>110</v>
      </c>
      <c r="F47" s="764" t="s">
        <v>102</v>
      </c>
      <c r="G47" s="764" t="s">
        <v>103</v>
      </c>
      <c r="H47" s="765" cm="1">
        <f t="array" ref="H47">_xlfn.XLOOKUP(E47&amp;G47,'1.2 Combustión móvil'!$B$16:$B$24&amp;'1.2 Combustión móvil'!$F$16:$F$24,'1.2 Combustión móvil'!$AB$16:$AB$24,"-")</f>
        <v>2345.3216986751995</v>
      </c>
      <c r="I47" s="764" t="str" cm="1">
        <f t="array" ref="I47">_xlfn.XLOOKUP(E47&amp;G47,'1.2 Combustión móvil'!$B$16:$B$24&amp;'1.2 Combustión móvil'!$F$16:$F$24,'1.2 Combustión móvil'!$AC$16:$AC$24,"-")</f>
        <v>kgCO2e/metros cúbicos</v>
      </c>
      <c r="J47" s="764" t="str" cm="1">
        <f t="array" ref="J47">_xlfn.XLOOKUP(E47&amp;G47,'1.2 Combustión móvil'!$B$16:$B$24&amp;'1.2 Combustión móvil'!$F$16:$F$24,'1.2 Combustión móvil'!$AD$16:$AD$24,"-")</f>
        <v>IPCC 2006 (vol2; chapter 3) , Table 3.2.1 and Table 3.2.2</v>
      </c>
      <c r="K47" s="764" t="str" cm="1">
        <f t="array" ref="K47">_xlfn.XLOOKUP(E47&amp;G47,'1.2 Combustión móvil'!$B$16:$B$24&amp;'1.2 Combustión móvil'!$F$16:$F$24,'1.2 Combustión móvil'!$AE$16:$AE$24,"-")</f>
        <v>CNE BNE 2020</v>
      </c>
      <c r="L47" s="768" t="str" cm="1">
        <f t="array" ref="L47">_xlfn.XLOOKUP(E47&amp;G47,'1.2 Combustión móvil'!$B$16:$B$24&amp;'1.2 Combustión móvil'!$F$16:$F$24,'1.2 Combustión móvil'!$AF$16:$AF$24,"-")</f>
        <v>-</v>
      </c>
    </row>
    <row r="48" spans="2:12" ht="28.8">
      <c r="B48" s="764" t="s">
        <v>99</v>
      </c>
      <c r="C48" s="764" t="s">
        <v>16</v>
      </c>
      <c r="D48" s="764" t="s">
        <v>121</v>
      </c>
      <c r="E48" s="764" t="s">
        <v>110</v>
      </c>
      <c r="F48" s="764" t="s">
        <v>102</v>
      </c>
      <c r="G48" s="764" t="s">
        <v>104</v>
      </c>
      <c r="H48" s="765" cm="1">
        <f t="array" ref="H48">_xlfn.XLOOKUP(E48&amp;G48,'1.2 Combustión móvil'!$B$16:$B$24&amp;'1.2 Combustión móvil'!$F$16:$F$24,'1.2 Combustión móvil'!$AB$16:$AB$24,"-")</f>
        <v>2.3453216986751997</v>
      </c>
      <c r="I48" s="764" t="str" cm="1">
        <f t="array" ref="I48">_xlfn.XLOOKUP(E48&amp;G48,'1.2 Combustión móvil'!$B$16:$B$24&amp;'1.2 Combustión móvil'!$F$16:$F$24,'1.2 Combustión móvil'!$AC$16:$AC$24,"-")</f>
        <v>kgCO2e/litros</v>
      </c>
      <c r="J48" s="764" t="str" cm="1">
        <f t="array" ref="J48">_xlfn.XLOOKUP(E48&amp;G48,'1.2 Combustión móvil'!$B$16:$B$24&amp;'1.2 Combustión móvil'!$F$16:$F$24,'1.2 Combustión móvil'!$AD$16:$AD$24,"-")</f>
        <v>IPCC 2006 (vol2; chapter 3) , Table 3.2.1 and Table 3.2.2</v>
      </c>
      <c r="K48" s="764" t="str" cm="1">
        <f t="array" ref="K48">_xlfn.XLOOKUP(E48&amp;G48,'1.2 Combustión móvil'!$B$16:$B$24&amp;'1.2 Combustión móvil'!$F$16:$F$24,'1.2 Combustión móvil'!$AE$16:$AE$24,"-")</f>
        <v>CNE BNE 2020</v>
      </c>
      <c r="L48" s="768" t="str" cm="1">
        <f t="array" ref="L48">_xlfn.XLOOKUP(E48&amp;G48,'1.2 Combustión móvil'!$B$16:$B$24&amp;'1.2 Combustión móvil'!$F$16:$F$24,'1.2 Combustión móvil'!$AF$16:$AF$24,"-")</f>
        <v>-</v>
      </c>
    </row>
    <row r="49" spans="2:12" ht="28.8">
      <c r="B49" s="764" t="s">
        <v>99</v>
      </c>
      <c r="C49" s="764" t="s">
        <v>16</v>
      </c>
      <c r="D49" s="764" t="s">
        <v>121</v>
      </c>
      <c r="E49" s="764" t="s">
        <v>116</v>
      </c>
      <c r="F49" s="764" t="s">
        <v>102</v>
      </c>
      <c r="G49" s="764" t="s">
        <v>103</v>
      </c>
      <c r="H49" s="765" cm="1">
        <f t="array" ref="H49">_xlfn.XLOOKUP(E49&amp;G49,'1.2 Combustión móvil'!$B$16:$B$24&amp;'1.2 Combustión móvil'!$F$16:$F$24,'1.2 Combustión móvil'!$AB$16:$AB$24,"-")</f>
        <v>2579.9305579489792</v>
      </c>
      <c r="I49" s="764" t="str" cm="1">
        <f t="array" ref="I49">_xlfn.XLOOKUP(E49&amp;G49,'1.2 Combustión móvil'!$B$16:$B$24&amp;'1.2 Combustión móvil'!$F$16:$F$24,'1.2 Combustión móvil'!$AC$16:$AC$24,"-")</f>
        <v>kgCO2e/metros cúbicos</v>
      </c>
      <c r="J49" s="764" t="str" cm="1">
        <f t="array" ref="J49">_xlfn.XLOOKUP(E49&amp;G49,'1.2 Combustión móvil'!$B$16:$B$24&amp;'1.2 Combustión móvil'!$F$16:$F$24,'1.2 Combustión móvil'!$AD$16:$AD$24,"-")</f>
        <v>IPCC 2006 (vol2; chapter 3) , Table 3.2.1 and Table 3.2.2</v>
      </c>
      <c r="K49" s="764" t="str" cm="1">
        <f t="array" ref="K49">_xlfn.XLOOKUP(E49&amp;G49,'1.2 Combustión móvil'!$B$16:$B$24&amp;'1.2 Combustión móvil'!$F$16:$F$24,'1.2 Combustión móvil'!$AE$16:$AE$24,"-")</f>
        <v>CNE BNE 2020</v>
      </c>
      <c r="L49" s="768" t="str" cm="1">
        <f t="array" ref="L49">_xlfn.XLOOKUP(E49&amp;G49,'1.2 Combustión móvil'!$B$16:$B$24&amp;'1.2 Combustión móvil'!$F$16:$F$24,'1.2 Combustión móvil'!$AF$16:$AF$24,"-")</f>
        <v>IPCC 2006 (vol2; chapter 2), Table 2.3</v>
      </c>
    </row>
    <row r="50" spans="2:12" ht="28.8">
      <c r="B50" s="764" t="s">
        <v>99</v>
      </c>
      <c r="C50" s="764" t="s">
        <v>16</v>
      </c>
      <c r="D50" s="764" t="s">
        <v>121</v>
      </c>
      <c r="E50" s="764" t="s">
        <v>116</v>
      </c>
      <c r="F50" s="764" t="s">
        <v>102</v>
      </c>
      <c r="G50" s="764" t="s">
        <v>104</v>
      </c>
      <c r="H50" s="765" cm="1">
        <f t="array" ref="H50">_xlfn.XLOOKUP(E50&amp;G50,'1.2 Combustión móvil'!$B$16:$B$24&amp;'1.2 Combustión móvil'!$F$16:$F$24,'1.2 Combustión móvil'!$AB$16:$AB$24,"-")</f>
        <v>2.5799305579489791</v>
      </c>
      <c r="I50" s="764" t="str" cm="1">
        <f t="array" ref="I50">_xlfn.XLOOKUP(E50&amp;G50,'1.2 Combustión móvil'!$B$16:$B$24&amp;'1.2 Combustión móvil'!$F$16:$F$24,'1.2 Combustión móvil'!$AC$16:$AC$24,"-")</f>
        <v>kgCO2e/litros</v>
      </c>
      <c r="J50" s="764" t="str" cm="1">
        <f t="array" ref="J50">_xlfn.XLOOKUP(E50&amp;G50,'1.2 Combustión móvil'!$B$16:$B$24&amp;'1.2 Combustión móvil'!$F$16:$F$24,'1.2 Combustión móvil'!$AD$16:$AD$24,"-")</f>
        <v>IPCC 2006 (vol2; chapter 3) , Table 3.2.1 and Table 3.2.2</v>
      </c>
      <c r="K50" s="764" t="str" cm="1">
        <f t="array" ref="K50">_xlfn.XLOOKUP(E50&amp;G50,'1.2 Combustión móvil'!$B$16:$B$24&amp;'1.2 Combustión móvil'!$F$16:$F$24,'1.2 Combustión móvil'!$AE$16:$AE$24,"-")</f>
        <v>CNE BNE 2020</v>
      </c>
      <c r="L50" s="768" t="str" cm="1">
        <f t="array" ref="L50">_xlfn.XLOOKUP(E50&amp;G50,'1.2 Combustión móvil'!$B$16:$B$24&amp;'1.2 Combustión móvil'!$F$16:$F$24,'1.2 Combustión móvil'!$AF$16:$AF$24,"-")</f>
        <v>IPCC 2006 (vol2; chapter 2), Table 2.3</v>
      </c>
    </row>
    <row r="51" spans="2:12" ht="28.8">
      <c r="B51" s="764" t="s">
        <v>99</v>
      </c>
      <c r="C51" s="764" t="s">
        <v>24</v>
      </c>
      <c r="D51" s="764" t="s">
        <v>124</v>
      </c>
      <c r="E51" s="764" t="s">
        <v>125</v>
      </c>
      <c r="F51" s="764" t="s">
        <v>102</v>
      </c>
      <c r="G51" s="764" t="s">
        <v>106</v>
      </c>
      <c r="H51" s="765" cm="1">
        <f t="array" ref="H51">_xlfn.XLOOKUP(E51&amp;G51,'1.3 Procesos industriales'!$B$12:$B$67&amp;'1.3 Procesos industriales'!$C$12:$C$67,'1.3 Procesos industriales'!$T$12:$T$67,"-")</f>
        <v>316.83240000000001</v>
      </c>
      <c r="I51" s="764" t="str" cm="1">
        <f t="array" ref="I51">_xlfn.XLOOKUP(E51&amp;G51,'1.3 Procesos industriales'!$B$12:$B$67&amp;'1.3 Procesos industriales'!$C$12:$C$67,'1.3 Procesos industriales'!$U$12:$U$67,"-")</f>
        <v>kgCO2e/toneladas</v>
      </c>
      <c r="J51" s="764" t="str" cm="1">
        <f t="array" ref="J51">_xlfn.XLOOKUP(E51&amp;G51,'1.3 Procesos industriales'!$B$12:$B$67&amp;'1.3 Procesos industriales'!$C$12:$C$67,'1.3 Procesos industriales'!$V$12:$V$67,"-")</f>
        <v>INGEI + IPCC 2006. Ver su hoja correspondiente para más detalles.</v>
      </c>
      <c r="K51" s="764" t="s">
        <v>102</v>
      </c>
      <c r="L51" s="768" t="s">
        <v>102</v>
      </c>
    </row>
    <row r="52" spans="2:12" ht="28.8">
      <c r="B52" s="764" t="s">
        <v>99</v>
      </c>
      <c r="C52" s="764" t="s">
        <v>24</v>
      </c>
      <c r="D52" s="764" t="s">
        <v>124</v>
      </c>
      <c r="E52" s="764" t="s">
        <v>125</v>
      </c>
      <c r="F52" s="764" t="s">
        <v>102</v>
      </c>
      <c r="G52" s="764" t="s">
        <v>107</v>
      </c>
      <c r="H52" s="771" cm="1">
        <f t="array" ref="H52">_xlfn.XLOOKUP(E52&amp;G52,'1.3 Procesos industriales'!$B$12:$B$67&amp;'1.3 Procesos industriales'!$C$12:$C$67,'1.3 Procesos industriales'!$T$12:$T$67,"-")</f>
        <v>0.31683240000000001</v>
      </c>
      <c r="I52" s="764" t="str" cm="1">
        <f t="array" ref="I52">_xlfn.XLOOKUP(E52&amp;G52,'1.3 Procesos industriales'!$B$12:$B$67&amp;'1.3 Procesos industriales'!$C$12:$C$67,'1.3 Procesos industriales'!$U$12:$U$67,"-")</f>
        <v>kgCO2e/kilogramos</v>
      </c>
      <c r="J52" s="764" t="str" cm="1">
        <f t="array" ref="J52">_xlfn.XLOOKUP(E52&amp;G52,'1.3 Procesos industriales'!$B$12:$B$67&amp;'1.3 Procesos industriales'!$C$12:$C$67,'1.3 Procesos industriales'!$V$12:$V$67,"-")</f>
        <v>INGEI + IPCC 2006. Ver su hoja correspondiente para más detalles.</v>
      </c>
      <c r="K52" s="764" t="s">
        <v>102</v>
      </c>
      <c r="L52" s="768" t="s">
        <v>102</v>
      </c>
    </row>
    <row r="53" spans="2:12" ht="28.8">
      <c r="B53" s="764" t="s">
        <v>99</v>
      </c>
      <c r="C53" s="764" t="s">
        <v>24</v>
      </c>
      <c r="D53" s="764" t="s">
        <v>124</v>
      </c>
      <c r="E53" s="764" t="s">
        <v>125</v>
      </c>
      <c r="F53" s="764" t="s">
        <v>102</v>
      </c>
      <c r="G53" s="764" t="s">
        <v>108</v>
      </c>
      <c r="H53" s="772" cm="1">
        <f t="array" ref="H53">_xlfn.XLOOKUP(E53&amp;G53,'1.3 Procesos industriales'!$B$12:$B$67&amp;'1.3 Procesos industriales'!$C$12:$C$67,'1.3 Procesos industriales'!$T$12:$T$67,"-")</f>
        <v>3.1683239999999999E-4</v>
      </c>
      <c r="I53" s="764" t="str" cm="1">
        <f t="array" ref="I53">_xlfn.XLOOKUP(E53&amp;G53,'1.3 Procesos industriales'!$B$12:$B$67&amp;'1.3 Procesos industriales'!$C$12:$C$67,'1.3 Procesos industriales'!$U$12:$U$67,"-")</f>
        <v>kgCO2e/gramos</v>
      </c>
      <c r="J53" s="764" t="str" cm="1">
        <f t="array" ref="J53">_xlfn.XLOOKUP(E53&amp;G53,'1.3 Procesos industriales'!$B$12:$B$67&amp;'1.3 Procesos industriales'!$C$12:$C$67,'1.3 Procesos industriales'!$V$12:$V$67,"-")</f>
        <v>INGEI + IPCC 2006. Ver su hoja correspondiente para más detalles.</v>
      </c>
      <c r="K53" s="764" t="s">
        <v>102</v>
      </c>
      <c r="L53" s="768" t="s">
        <v>102</v>
      </c>
    </row>
    <row r="54" spans="2:12" ht="28.8">
      <c r="B54" s="764" t="s">
        <v>99</v>
      </c>
      <c r="C54" s="764" t="s">
        <v>24</v>
      </c>
      <c r="D54" s="764" t="s">
        <v>124</v>
      </c>
      <c r="E54" s="764" t="s">
        <v>126</v>
      </c>
      <c r="F54" s="764" t="s">
        <v>102</v>
      </c>
      <c r="G54" s="764" t="s">
        <v>106</v>
      </c>
      <c r="H54" s="765" cm="1">
        <f t="array" ref="H54">_xlfn.XLOOKUP(E54&amp;G54,'1.3 Procesos industriales'!$B$12:$B$67&amp;'1.3 Procesos industriales'!$C$12:$C$67,'1.3 Procesos industriales'!$T$12:$T$67,"-")</f>
        <v>695.12770499999999</v>
      </c>
      <c r="I54" s="764" t="str" cm="1">
        <f t="array" ref="I54">_xlfn.XLOOKUP(E54&amp;G54,'1.3 Procesos industriales'!$B$12:$B$67&amp;'1.3 Procesos industriales'!$C$12:$C$67,'1.3 Procesos industriales'!$U$12:$U$67,"-")</f>
        <v>kgCO2e/toneladas</v>
      </c>
      <c r="J54" s="764" t="str" cm="1">
        <f t="array" ref="J54">_xlfn.XLOOKUP(E54&amp;G54,'1.3 Procesos industriales'!$B$12:$B$67&amp;'1.3 Procesos industriales'!$C$12:$C$67,'1.3 Procesos industriales'!$V$12:$V$67,"-")</f>
        <v>INGEI + IPCC 2006. Ver su hoja correspondiente para más detalles.</v>
      </c>
      <c r="K54" s="764" t="s">
        <v>102</v>
      </c>
      <c r="L54" s="768" t="s">
        <v>102</v>
      </c>
    </row>
    <row r="55" spans="2:12" ht="28.8">
      <c r="B55" s="764" t="s">
        <v>99</v>
      </c>
      <c r="C55" s="764" t="s">
        <v>24</v>
      </c>
      <c r="D55" s="764" t="s">
        <v>124</v>
      </c>
      <c r="E55" s="764" t="s">
        <v>126</v>
      </c>
      <c r="F55" s="764" t="s">
        <v>102</v>
      </c>
      <c r="G55" s="764" t="s">
        <v>107</v>
      </c>
      <c r="H55" s="771" cm="1">
        <f t="array" ref="H55">_xlfn.XLOOKUP(E55&amp;G55,'1.3 Procesos industriales'!$B$12:$B$67&amp;'1.3 Procesos industriales'!$C$12:$C$67,'1.3 Procesos industriales'!$T$12:$T$67,"-")</f>
        <v>0.69512770499999998</v>
      </c>
      <c r="I55" s="764" t="str" cm="1">
        <f t="array" ref="I55">_xlfn.XLOOKUP(E55&amp;G55,'1.3 Procesos industriales'!$B$12:$B$67&amp;'1.3 Procesos industriales'!$C$12:$C$67,'1.3 Procesos industriales'!$U$12:$U$67,"-")</f>
        <v>kgCO2e/kilogramos</v>
      </c>
      <c r="J55" s="764" t="str" cm="1">
        <f t="array" ref="J55">_xlfn.XLOOKUP(E55&amp;G55,'1.3 Procesos industriales'!$B$12:$B$67&amp;'1.3 Procesos industriales'!$C$12:$C$67,'1.3 Procesos industriales'!$V$12:$V$67,"-")</f>
        <v>INGEI + IPCC 2006. Ver su hoja correspondiente para más detalles.</v>
      </c>
      <c r="K55" s="764" t="s">
        <v>102</v>
      </c>
      <c r="L55" s="768" t="s">
        <v>102</v>
      </c>
    </row>
    <row r="56" spans="2:12" ht="28.8">
      <c r="B56" s="764" t="s">
        <v>99</v>
      </c>
      <c r="C56" s="764" t="s">
        <v>24</v>
      </c>
      <c r="D56" s="764" t="s">
        <v>124</v>
      </c>
      <c r="E56" s="764" t="s">
        <v>126</v>
      </c>
      <c r="F56" s="764" t="s">
        <v>102</v>
      </c>
      <c r="G56" s="764" t="s">
        <v>108</v>
      </c>
      <c r="H56" s="772" cm="1">
        <f t="array" ref="H56">_xlfn.XLOOKUP(E56&amp;G56,'1.3 Procesos industriales'!$B$12:$B$67&amp;'1.3 Procesos industriales'!$C$12:$C$67,'1.3 Procesos industriales'!$T$12:$T$67,"-")</f>
        <v>6.9512770500000003E-4</v>
      </c>
      <c r="I56" s="764" t="str" cm="1">
        <f t="array" ref="I56">_xlfn.XLOOKUP(E56&amp;G56,'1.3 Procesos industriales'!$B$12:$B$67&amp;'1.3 Procesos industriales'!$C$12:$C$67,'1.3 Procesos industriales'!$U$12:$U$67,"-")</f>
        <v>kgCO2e/gramos</v>
      </c>
      <c r="J56" s="764" t="str" cm="1">
        <f t="array" ref="J56">_xlfn.XLOOKUP(E56&amp;G56,'1.3 Procesos industriales'!$B$12:$B$67&amp;'1.3 Procesos industriales'!$C$12:$C$67,'1.3 Procesos industriales'!$V$12:$V$67,"-")</f>
        <v>INGEI + IPCC 2006. Ver su hoja correspondiente para más detalles.</v>
      </c>
      <c r="K56" s="764" t="s">
        <v>102</v>
      </c>
      <c r="L56" s="768" t="s">
        <v>102</v>
      </c>
    </row>
    <row r="57" spans="2:12" ht="28.8">
      <c r="B57" s="764" t="s">
        <v>99</v>
      </c>
      <c r="C57" s="764" t="s">
        <v>24</v>
      </c>
      <c r="D57" s="764" t="s">
        <v>124</v>
      </c>
      <c r="E57" s="764" t="s">
        <v>127</v>
      </c>
      <c r="F57" s="764" t="s">
        <v>102</v>
      </c>
      <c r="G57" s="764" t="s">
        <v>106</v>
      </c>
      <c r="H57" s="765" cm="1">
        <f t="array" ref="H57">_xlfn.XLOOKUP(E57&amp;G57,'1.3 Procesos industriales'!$B$12:$B$67&amp;'1.3 Procesos industriales'!$C$12:$C$67,'1.3 Procesos industriales'!$T$12:$T$67,"-")</f>
        <v>145.16437320790482</v>
      </c>
      <c r="I57" s="764" t="str" cm="1">
        <f t="array" ref="I57">_xlfn.XLOOKUP(E57&amp;G57,'1.3 Procesos industriales'!$B$12:$B$67&amp;'1.3 Procesos industriales'!$C$12:$C$67,'1.3 Procesos industriales'!$U$12:$U$67,"-")</f>
        <v>kgCO2e/toneladas</v>
      </c>
      <c r="J57" s="764" t="str" cm="1">
        <f t="array" ref="J57">_xlfn.XLOOKUP(E57&amp;G57,'1.3 Procesos industriales'!$B$12:$B$67&amp;'1.3 Procesos industriales'!$C$12:$C$67,'1.3 Procesos industriales'!$V$12:$V$67,"-")</f>
        <v>INGEI + IPCC 2006. Ver su hoja correspondiente para más detalles.</v>
      </c>
      <c r="K57" s="764" t="s">
        <v>102</v>
      </c>
      <c r="L57" s="768" t="s">
        <v>102</v>
      </c>
    </row>
    <row r="58" spans="2:12" ht="28.8">
      <c r="B58" s="764" t="s">
        <v>99</v>
      </c>
      <c r="C58" s="764" t="s">
        <v>24</v>
      </c>
      <c r="D58" s="764" t="s">
        <v>124</v>
      </c>
      <c r="E58" s="764" t="s">
        <v>127</v>
      </c>
      <c r="F58" s="764" t="s">
        <v>102</v>
      </c>
      <c r="G58" s="764" t="s">
        <v>107</v>
      </c>
      <c r="H58" s="771" cm="1">
        <f t="array" ref="H58">_xlfn.XLOOKUP(E58&amp;G58,'1.3 Procesos industriales'!$B$12:$B$67&amp;'1.3 Procesos industriales'!$C$12:$C$67,'1.3 Procesos industriales'!$T$12:$T$67,"-")</f>
        <v>0.14516437320790482</v>
      </c>
      <c r="I58" s="764" t="str" cm="1">
        <f t="array" ref="I58">_xlfn.XLOOKUP(E58&amp;G58,'1.3 Procesos industriales'!$B$12:$B$67&amp;'1.3 Procesos industriales'!$C$12:$C$67,'1.3 Procesos industriales'!$U$12:$U$67,"-")</f>
        <v>kgCO2e/kilogramos</v>
      </c>
      <c r="J58" s="764" t="str" cm="1">
        <f t="array" ref="J58">_xlfn.XLOOKUP(E58&amp;G58,'1.3 Procesos industriales'!$B$12:$B$67&amp;'1.3 Procesos industriales'!$C$12:$C$67,'1.3 Procesos industriales'!$V$12:$V$67,"-")</f>
        <v>INGEI + IPCC 2006. Ver su hoja correspondiente para más detalles.</v>
      </c>
      <c r="K58" s="764" t="s">
        <v>102</v>
      </c>
      <c r="L58" s="768" t="s">
        <v>102</v>
      </c>
    </row>
    <row r="59" spans="2:12" ht="28.8">
      <c r="B59" s="764" t="s">
        <v>99</v>
      </c>
      <c r="C59" s="764" t="s">
        <v>24</v>
      </c>
      <c r="D59" s="764" t="s">
        <v>124</v>
      </c>
      <c r="E59" s="764" t="s">
        <v>127</v>
      </c>
      <c r="F59" s="764" t="s">
        <v>102</v>
      </c>
      <c r="G59" s="764" t="s">
        <v>108</v>
      </c>
      <c r="H59" s="772" cm="1">
        <f t="array" ref="H59">_xlfn.XLOOKUP(E59&amp;G59,'1.3 Procesos industriales'!$B$12:$B$67&amp;'1.3 Procesos industriales'!$C$12:$C$67,'1.3 Procesos industriales'!$T$12:$T$67,"-")</f>
        <v>1.4516437320790483E-4</v>
      </c>
      <c r="I59" s="764" t="str" cm="1">
        <f t="array" ref="I59">_xlfn.XLOOKUP(E59&amp;G59,'1.3 Procesos industriales'!$B$12:$B$67&amp;'1.3 Procesos industriales'!$C$12:$C$67,'1.3 Procesos industriales'!$U$12:$U$67,"-")</f>
        <v>kgCO2e/gramos</v>
      </c>
      <c r="J59" s="764" t="str" cm="1">
        <f t="array" ref="J59">_xlfn.XLOOKUP(E59&amp;G59,'1.3 Procesos industriales'!$B$12:$B$67&amp;'1.3 Procesos industriales'!$C$12:$C$67,'1.3 Procesos industriales'!$V$12:$V$67,"-")</f>
        <v>INGEI + IPCC 2006. Ver su hoja correspondiente para más detalles.</v>
      </c>
      <c r="K59" s="764" t="s">
        <v>102</v>
      </c>
      <c r="L59" s="768" t="s">
        <v>102</v>
      </c>
    </row>
    <row r="60" spans="2:12" ht="28.8">
      <c r="B60" s="764" t="s">
        <v>99</v>
      </c>
      <c r="C60" s="764" t="s">
        <v>24</v>
      </c>
      <c r="D60" s="764" t="s">
        <v>124</v>
      </c>
      <c r="E60" s="764" t="s">
        <v>128</v>
      </c>
      <c r="F60" s="764" t="s">
        <v>102</v>
      </c>
      <c r="G60" s="764" t="s">
        <v>106</v>
      </c>
      <c r="H60" s="765" cm="1">
        <f t="array" ref="H60">_xlfn.XLOOKUP(E60&amp;G60,'1.3 Procesos industriales'!$B$12:$B$67&amp;'1.3 Procesos industriales'!$C$12:$C$67,'1.3 Procesos industriales'!$T$12:$T$67,"-")</f>
        <v>560.00279999999998</v>
      </c>
      <c r="I60" s="764" t="str" cm="1">
        <f t="array" ref="I60">_xlfn.XLOOKUP(E60&amp;G60,'1.3 Procesos industriales'!$B$12:$B$67&amp;'1.3 Procesos industriales'!$C$12:$C$67,'1.3 Procesos industriales'!$U$12:$U$67,"-")</f>
        <v>kgCO2e/toneladas</v>
      </c>
      <c r="J60" s="764" t="str" cm="1">
        <f t="array" ref="J60">_xlfn.XLOOKUP(E60&amp;G60,'1.3 Procesos industriales'!$B$12:$B$67&amp;'1.3 Procesos industriales'!$C$12:$C$67,'1.3 Procesos industriales'!$V$12:$V$67,"-")</f>
        <v>INGEI + IPCC 2006. Ver su hoja correspondiente para más detalles.</v>
      </c>
      <c r="K60" s="764" t="s">
        <v>102</v>
      </c>
      <c r="L60" s="768" t="s">
        <v>102</v>
      </c>
    </row>
    <row r="61" spans="2:12" ht="28.8">
      <c r="B61" s="764" t="s">
        <v>99</v>
      </c>
      <c r="C61" s="764" t="s">
        <v>24</v>
      </c>
      <c r="D61" s="764" t="s">
        <v>124</v>
      </c>
      <c r="E61" s="764" t="s">
        <v>128</v>
      </c>
      <c r="F61" s="764" t="s">
        <v>102</v>
      </c>
      <c r="G61" s="764" t="s">
        <v>107</v>
      </c>
      <c r="H61" s="765" cm="1">
        <f t="array" ref="H61">_xlfn.XLOOKUP(E61&amp;G61,'1.3 Procesos industriales'!$B$12:$B$67&amp;'1.3 Procesos industriales'!$C$12:$C$67,'1.3 Procesos industriales'!$T$12:$T$67,"-")</f>
        <v>0.56000280000000002</v>
      </c>
      <c r="I61" s="764" t="str" cm="1">
        <f t="array" ref="I61">_xlfn.XLOOKUP(E61&amp;G61,'1.3 Procesos industriales'!$B$12:$B$67&amp;'1.3 Procesos industriales'!$C$12:$C$67,'1.3 Procesos industriales'!$U$12:$U$67,"-")</f>
        <v>kgCO2e/kilogramos</v>
      </c>
      <c r="J61" s="764" t="str" cm="1">
        <f t="array" ref="J61">_xlfn.XLOOKUP(E61&amp;G61,'1.3 Procesos industriales'!$B$12:$B$67&amp;'1.3 Procesos industriales'!$C$12:$C$67,'1.3 Procesos industriales'!$V$12:$V$67,"-")</f>
        <v>INGEI + IPCC 2006. Ver su hoja correspondiente para más detalles.</v>
      </c>
      <c r="K61" s="764" t="s">
        <v>102</v>
      </c>
      <c r="L61" s="768" t="s">
        <v>102</v>
      </c>
    </row>
    <row r="62" spans="2:12" ht="28.8">
      <c r="B62" s="764" t="s">
        <v>99</v>
      </c>
      <c r="C62" s="764" t="s">
        <v>24</v>
      </c>
      <c r="D62" s="764" t="s">
        <v>124</v>
      </c>
      <c r="E62" s="764" t="s">
        <v>128</v>
      </c>
      <c r="F62" s="764" t="s">
        <v>102</v>
      </c>
      <c r="G62" s="764" t="s">
        <v>108</v>
      </c>
      <c r="H62" s="769" cm="1">
        <f t="array" ref="H62">_xlfn.XLOOKUP(E62&amp;G62,'1.3 Procesos industriales'!$B$12:$B$67&amp;'1.3 Procesos industriales'!$C$12:$C$67,'1.3 Procesos industriales'!$T$12:$T$67,"-")</f>
        <v>5.6000279999999993E-4</v>
      </c>
      <c r="I62" s="764" t="str" cm="1">
        <f t="array" ref="I62">_xlfn.XLOOKUP(E62&amp;G62,'1.3 Procesos industriales'!$B$12:$B$67&amp;'1.3 Procesos industriales'!$C$12:$C$67,'1.3 Procesos industriales'!$U$12:$U$67,"-")</f>
        <v>kgCO2e/gramos</v>
      </c>
      <c r="J62" s="764" t="str" cm="1">
        <f t="array" ref="J62">_xlfn.XLOOKUP(E62&amp;G62,'1.3 Procesos industriales'!$B$12:$B$67&amp;'1.3 Procesos industriales'!$C$12:$C$67,'1.3 Procesos industriales'!$V$12:$V$67,"-")</f>
        <v>INGEI + IPCC 2006. Ver su hoja correspondiente para más detalles.</v>
      </c>
      <c r="K62" s="764" t="s">
        <v>102</v>
      </c>
      <c r="L62" s="768" t="s">
        <v>102</v>
      </c>
    </row>
    <row r="63" spans="2:12" ht="28.8">
      <c r="B63" s="764" t="s">
        <v>99</v>
      </c>
      <c r="C63" s="764" t="s">
        <v>24</v>
      </c>
      <c r="D63" s="764" t="s">
        <v>129</v>
      </c>
      <c r="E63" s="764" t="s">
        <v>130</v>
      </c>
      <c r="F63" s="764" t="s">
        <v>102</v>
      </c>
      <c r="G63" s="764" t="s">
        <v>131</v>
      </c>
      <c r="H63" s="765" cm="1">
        <f t="array" ref="H63">_xlfn.XLOOKUP(E63&amp;G63,'1.3 Procesos industriales'!$B$12:$B$67&amp;'1.3 Procesos industriales'!$C$12:$C$67,'1.3 Procesos industriales'!$T$12:$T$67,"-")</f>
        <v>1350</v>
      </c>
      <c r="I63" s="764" t="str" cm="1">
        <f t="array" ref="I63">_xlfn.XLOOKUP(E63&amp;G63,'1.3 Procesos industriales'!$B$12:$B$67&amp;'1.3 Procesos industriales'!$C$12:$C$67,'1.3 Procesos industriales'!$U$12:$U$67,"-")</f>
        <v>kgCO2e/tonelada</v>
      </c>
      <c r="J63" s="764" t="str" cm="1">
        <f t="array" ref="J63">_xlfn.XLOOKUP(E63&amp;G63,'1.3 Procesos industriales'!$B$12:$B$67&amp;'1.3 Procesos industriales'!$C$12:$C$67,'1.3 Procesos industriales'!$V$12:$V$67,"-")</f>
        <v>INGEI + IPCC 2006. Ver su hoja correspondiente para más detalles.</v>
      </c>
      <c r="K63" s="764" t="s">
        <v>102</v>
      </c>
      <c r="L63" s="768" t="s">
        <v>102</v>
      </c>
    </row>
    <row r="64" spans="2:12" ht="28.8">
      <c r="B64" s="764" t="s">
        <v>99</v>
      </c>
      <c r="C64" s="764" t="s">
        <v>24</v>
      </c>
      <c r="D64" s="764" t="s">
        <v>129</v>
      </c>
      <c r="E64" s="764" t="s">
        <v>130</v>
      </c>
      <c r="F64" s="764" t="s">
        <v>102</v>
      </c>
      <c r="G64" s="764" t="s">
        <v>107</v>
      </c>
      <c r="H64" s="765" cm="1">
        <f t="array" ref="H64">_xlfn.XLOOKUP(E64&amp;G64,'1.3 Procesos industriales'!$B$12:$B$67&amp;'1.3 Procesos industriales'!$C$12:$C$67,'1.3 Procesos industriales'!$T$12:$T$67,"-")</f>
        <v>1.35</v>
      </c>
      <c r="I64" s="764" t="str" cm="1">
        <f t="array" ref="I64">_xlfn.XLOOKUP(E64&amp;G64,'1.3 Procesos industriales'!$B$12:$B$67&amp;'1.3 Procesos industriales'!$C$12:$C$67,'1.3 Procesos industriales'!$U$12:$U$67,"-")</f>
        <v>kgCO2e/kilogramos</v>
      </c>
      <c r="J64" s="764" t="str" cm="1">
        <f t="array" ref="J64">_xlfn.XLOOKUP(E64&amp;G64,'1.3 Procesos industriales'!$B$12:$B$67&amp;'1.3 Procesos industriales'!$C$12:$C$67,'1.3 Procesos industriales'!$V$12:$V$67,"-")</f>
        <v>INGEI + IPCC 2006. Ver su hoja correspondiente para más detalles.</v>
      </c>
      <c r="K64" s="764" t="s">
        <v>102</v>
      </c>
      <c r="L64" s="768" t="s">
        <v>102</v>
      </c>
    </row>
    <row r="65" spans="2:12" ht="28.8">
      <c r="B65" s="764" t="s">
        <v>99</v>
      </c>
      <c r="C65" s="764" t="s">
        <v>24</v>
      </c>
      <c r="D65" s="764" t="s">
        <v>129</v>
      </c>
      <c r="E65" s="764" t="s">
        <v>130</v>
      </c>
      <c r="F65" s="764" t="s">
        <v>102</v>
      </c>
      <c r="G65" s="764" t="s">
        <v>108</v>
      </c>
      <c r="H65" s="769" cm="1">
        <f t="array" ref="H65">_xlfn.XLOOKUP(E65&amp;G65,'1.3 Procesos industriales'!$B$12:$B$67&amp;'1.3 Procesos industriales'!$C$12:$C$67,'1.3 Procesos industriales'!$T$12:$T$67,"-")</f>
        <v>1.3500000000000001E-3</v>
      </c>
      <c r="I65" s="764" t="str" cm="1">
        <f t="array" ref="I65">_xlfn.XLOOKUP(E65&amp;G65,'1.3 Procesos industriales'!$B$12:$B$67&amp;'1.3 Procesos industriales'!$C$12:$C$67,'1.3 Procesos industriales'!$U$12:$U$67,"-")</f>
        <v>kgCO2e/gramos</v>
      </c>
      <c r="J65" s="764" t="str" cm="1">
        <f t="array" ref="J65">_xlfn.XLOOKUP(E65&amp;G65,'1.3 Procesos industriales'!$B$12:$B$67&amp;'1.3 Procesos industriales'!$C$12:$C$67,'1.3 Procesos industriales'!$V$12:$V$67,"-")</f>
        <v>INGEI + IPCC 2006. Ver su hoja correspondiente para más detalles.</v>
      </c>
      <c r="K65" s="764" t="s">
        <v>102</v>
      </c>
      <c r="L65" s="768" t="s">
        <v>102</v>
      </c>
    </row>
    <row r="66" spans="2:12" ht="28.8">
      <c r="B66" s="764" t="s">
        <v>99</v>
      </c>
      <c r="C66" s="764" t="s">
        <v>24</v>
      </c>
      <c r="D66" s="764" t="s">
        <v>129</v>
      </c>
      <c r="E66" s="764" t="s">
        <v>132</v>
      </c>
      <c r="F66" s="764" t="s">
        <v>102</v>
      </c>
      <c r="G66" s="764" t="s">
        <v>106</v>
      </c>
      <c r="H66" s="765" cm="1">
        <f t="array" ref="H66">_xlfn.XLOOKUP(E66&amp;G66,'1.3 Procesos industriales'!$B$12:$B$67&amp;'1.3 Procesos industriales'!$C$12:$C$67,'1.3 Procesos industriales'!$T$12:$T$67,"-")</f>
        <v>700</v>
      </c>
      <c r="I66" s="764" t="str" cm="1">
        <f t="array" ref="I66">_xlfn.XLOOKUP(E66&amp;G66,'1.3 Procesos industriales'!$B$12:$B$67&amp;'1.3 Procesos industriales'!$C$12:$C$67,'1.3 Procesos industriales'!$U$12:$U$67,"-")</f>
        <v>kgCO2e/toneladas</v>
      </c>
      <c r="J66" s="764" t="str" cm="1">
        <f t="array" ref="J66">_xlfn.XLOOKUP(E66&amp;G66,'1.3 Procesos industriales'!$B$12:$B$67&amp;'1.3 Procesos industriales'!$C$12:$C$67,'1.3 Procesos industriales'!$V$12:$V$67,"-")</f>
        <v>INGEI + IPCC 2006. Ver su hoja correspondiente para más detalles.</v>
      </c>
      <c r="K66" s="764" t="s">
        <v>102</v>
      </c>
      <c r="L66" s="768" t="s">
        <v>102</v>
      </c>
    </row>
    <row r="67" spans="2:12" ht="28.8">
      <c r="B67" s="764" t="s">
        <v>99</v>
      </c>
      <c r="C67" s="764" t="s">
        <v>24</v>
      </c>
      <c r="D67" s="764" t="s">
        <v>129</v>
      </c>
      <c r="E67" s="764" t="s">
        <v>132</v>
      </c>
      <c r="F67" s="764" t="s">
        <v>102</v>
      </c>
      <c r="G67" s="764" t="s">
        <v>107</v>
      </c>
      <c r="H67" s="765" cm="1">
        <f t="array" ref="H67">_xlfn.XLOOKUP(E67&amp;G67,'1.3 Procesos industriales'!$B$12:$B$67&amp;'1.3 Procesos industriales'!$C$12:$C$67,'1.3 Procesos industriales'!$T$12:$T$67,"-")</f>
        <v>0.7</v>
      </c>
      <c r="I67" s="764" t="str" cm="1">
        <f t="array" ref="I67">_xlfn.XLOOKUP(E67&amp;G67,'1.3 Procesos industriales'!$B$12:$B$67&amp;'1.3 Procesos industriales'!$C$12:$C$67,'1.3 Procesos industriales'!$U$12:$U$67,"-")</f>
        <v>kgCO2e/kilogramos</v>
      </c>
      <c r="J67" s="764" t="str" cm="1">
        <f t="array" ref="J67">_xlfn.XLOOKUP(E67&amp;G67,'1.3 Procesos industriales'!$B$12:$B$67&amp;'1.3 Procesos industriales'!$C$12:$C$67,'1.3 Procesos industriales'!$V$12:$V$67,"-")</f>
        <v>INGEI + IPCC 2006. Ver su hoja correspondiente para más detalles.</v>
      </c>
      <c r="K67" s="764" t="s">
        <v>102</v>
      </c>
      <c r="L67" s="768" t="s">
        <v>102</v>
      </c>
    </row>
    <row r="68" spans="2:12" ht="28.8">
      <c r="B68" s="764" t="s">
        <v>99</v>
      </c>
      <c r="C68" s="764" t="s">
        <v>24</v>
      </c>
      <c r="D68" s="764" t="s">
        <v>129</v>
      </c>
      <c r="E68" s="764" t="s">
        <v>132</v>
      </c>
      <c r="F68" s="764" t="s">
        <v>102</v>
      </c>
      <c r="G68" s="764" t="s">
        <v>108</v>
      </c>
      <c r="H68" s="773" cm="1">
        <f t="array" ref="H68">_xlfn.XLOOKUP(E68&amp;G68,'1.3 Procesos industriales'!$B$12:$B$67&amp;'1.3 Procesos industriales'!$C$12:$C$67,'1.3 Procesos industriales'!$T$12:$T$67,"-")</f>
        <v>6.9999999999999999E-4</v>
      </c>
      <c r="I68" s="764" t="str" cm="1">
        <f t="array" ref="I68">_xlfn.XLOOKUP(E68&amp;G68,'1.3 Procesos industriales'!$B$12:$B$67&amp;'1.3 Procesos industriales'!$C$12:$C$67,'1.3 Procesos industriales'!$U$12:$U$67,"-")</f>
        <v>kgCO2e/gramos</v>
      </c>
      <c r="J68" s="764" t="str" cm="1">
        <f t="array" ref="J68">_xlfn.XLOOKUP(E68&amp;G68,'1.3 Procesos industriales'!$B$12:$B$67&amp;'1.3 Procesos industriales'!$C$12:$C$67,'1.3 Procesos industriales'!$V$12:$V$67,"-")</f>
        <v>INGEI + IPCC 2006. Ver su hoja correspondiente para más detalles.</v>
      </c>
      <c r="K68" s="764" t="s">
        <v>102</v>
      </c>
      <c r="L68" s="768" t="s">
        <v>102</v>
      </c>
    </row>
    <row r="69" spans="2:12" ht="28.8">
      <c r="B69" s="764" t="s">
        <v>99</v>
      </c>
      <c r="C69" s="764" t="s">
        <v>24</v>
      </c>
      <c r="D69" s="764" t="s">
        <v>129</v>
      </c>
      <c r="E69" s="764" t="s">
        <v>133</v>
      </c>
      <c r="F69" s="764" t="s">
        <v>102</v>
      </c>
      <c r="G69" s="764" t="s">
        <v>106</v>
      </c>
      <c r="H69" s="765" cm="1">
        <f t="array" ref="H69">_xlfn.XLOOKUP(E69&amp;G69,'1.3 Procesos industriales'!$B$12:$B$67&amp;'1.3 Procesos industriales'!$C$12:$C$67,'1.3 Procesos industriales'!$T$12:$T$67,"-")</f>
        <v>30</v>
      </c>
      <c r="I69" s="764" t="str" cm="1">
        <f t="array" ref="I69">_xlfn.XLOOKUP(E69&amp;G69,'1.3 Procesos industriales'!$B$12:$B$67&amp;'1.3 Procesos industriales'!$C$12:$C$67,'1.3 Procesos industriales'!$U$12:$U$67,"-")</f>
        <v>kgCO2e/toneladas</v>
      </c>
      <c r="J69" s="764" t="str" cm="1">
        <f t="array" ref="J69">_xlfn.XLOOKUP(E69&amp;G69,'1.3 Procesos industriales'!$B$12:$B$67&amp;'1.3 Procesos industriales'!$C$12:$C$67,'1.3 Procesos industriales'!$V$12:$V$67,"-")</f>
        <v>INGEI + IPCC 2006. Ver su hoja correspondiente para más detalles.</v>
      </c>
      <c r="K69" s="764" t="s">
        <v>102</v>
      </c>
      <c r="L69" s="768" t="s">
        <v>102</v>
      </c>
    </row>
    <row r="70" spans="2:12" ht="28.8">
      <c r="B70" s="764" t="s">
        <v>99</v>
      </c>
      <c r="C70" s="764" t="s">
        <v>24</v>
      </c>
      <c r="D70" s="764" t="s">
        <v>129</v>
      </c>
      <c r="E70" s="764" t="s">
        <v>133</v>
      </c>
      <c r="F70" s="764" t="s">
        <v>102</v>
      </c>
      <c r="G70" s="764" t="s">
        <v>107</v>
      </c>
      <c r="H70" s="765" cm="1">
        <f t="array" ref="H70">_xlfn.XLOOKUP(E70&amp;G70,'1.3 Procesos industriales'!$B$12:$B$67&amp;'1.3 Procesos industriales'!$C$12:$C$67,'1.3 Procesos industriales'!$T$12:$T$67,"-")</f>
        <v>0.03</v>
      </c>
      <c r="I70" s="764" t="str" cm="1">
        <f t="array" ref="I70">_xlfn.XLOOKUP(E70&amp;G70,'1.3 Procesos industriales'!$B$12:$B$67&amp;'1.3 Procesos industriales'!$C$12:$C$67,'1.3 Procesos industriales'!$U$12:$U$67,"-")</f>
        <v>kgCO2e/kilogramos</v>
      </c>
      <c r="J70" s="764" t="str" cm="1">
        <f t="array" ref="J70">_xlfn.XLOOKUP(E70&amp;G70,'1.3 Procesos industriales'!$B$12:$B$67&amp;'1.3 Procesos industriales'!$C$12:$C$67,'1.3 Procesos industriales'!$V$12:$V$67,"-")</f>
        <v>INGEI + IPCC 2006. Ver su hoja correspondiente para más detalles.</v>
      </c>
      <c r="K70" s="764" t="s">
        <v>102</v>
      </c>
      <c r="L70" s="768" t="s">
        <v>102</v>
      </c>
    </row>
    <row r="71" spans="2:12" ht="28.8">
      <c r="B71" s="764" t="s">
        <v>99</v>
      </c>
      <c r="C71" s="764" t="s">
        <v>24</v>
      </c>
      <c r="D71" s="764" t="s">
        <v>129</v>
      </c>
      <c r="E71" s="764" t="s">
        <v>133</v>
      </c>
      <c r="F71" s="764" t="s">
        <v>102</v>
      </c>
      <c r="G71" s="764" t="s">
        <v>108</v>
      </c>
      <c r="H71" s="769" cm="1">
        <f t="array" ref="H71">_xlfn.XLOOKUP(E71&amp;G71,'1.3 Procesos industriales'!$B$12:$B$67&amp;'1.3 Procesos industriales'!$C$12:$C$67,'1.3 Procesos industriales'!$T$12:$T$67,"-")</f>
        <v>3.0000000000000001E-5</v>
      </c>
      <c r="I71" s="764" t="str" cm="1">
        <f t="array" ref="I71">_xlfn.XLOOKUP(E71&amp;G71,'1.3 Procesos industriales'!$B$12:$B$67&amp;'1.3 Procesos industriales'!$C$12:$C$67,'1.3 Procesos industriales'!$U$12:$U$67,"-")</f>
        <v>kgCO2e/gramos</v>
      </c>
      <c r="J71" s="764" t="str" cm="1">
        <f t="array" ref="J71">_xlfn.XLOOKUP(E71&amp;G71,'1.3 Procesos industriales'!$B$12:$B$67&amp;'1.3 Procesos industriales'!$C$12:$C$67,'1.3 Procesos industriales'!$V$12:$V$67,"-")</f>
        <v>INGEI + IPCC 2006. Ver su hoja correspondiente para más detalles.</v>
      </c>
      <c r="K71" s="764" t="s">
        <v>102</v>
      </c>
      <c r="L71" s="768" t="s">
        <v>102</v>
      </c>
    </row>
    <row r="72" spans="2:12" ht="28.8">
      <c r="B72" s="764" t="s">
        <v>99</v>
      </c>
      <c r="C72" s="764" t="s">
        <v>24</v>
      </c>
      <c r="D72" s="764" t="s">
        <v>129</v>
      </c>
      <c r="E72" s="764" t="s">
        <v>134</v>
      </c>
      <c r="F72" s="764" t="s">
        <v>102</v>
      </c>
      <c r="G72" s="764" t="s">
        <v>106</v>
      </c>
      <c r="H72" s="765" cm="1">
        <f t="array" ref="H72">_xlfn.XLOOKUP(E72&amp;G72,'1.3 Procesos industriales'!$B$12:$B$67&amp;'1.3 Procesos industriales'!$C$12:$C$67,'1.3 Procesos industriales'!$T$12:$T$67,"-")</f>
        <v>1460</v>
      </c>
      <c r="I72" s="764" t="str" cm="1">
        <f t="array" ref="I72">_xlfn.XLOOKUP(E72&amp;G72,'1.3 Procesos industriales'!$B$12:$B$67&amp;'1.3 Procesos industriales'!$C$12:$C$67,'1.3 Procesos industriales'!$U$12:$U$67,"-")</f>
        <v>kgCO2e/toneladas</v>
      </c>
      <c r="J72" s="764" t="str" cm="1">
        <f t="array" ref="J72">_xlfn.XLOOKUP(E72&amp;G72,'1.3 Procesos industriales'!$B$12:$B$67&amp;'1.3 Procesos industriales'!$C$12:$C$67,'1.3 Procesos industriales'!$V$12:$V$67,"-")</f>
        <v>INGEI + IPCC 2006. Ver su hoja correspondiente para más detalles.</v>
      </c>
      <c r="K72" s="764" t="s">
        <v>102</v>
      </c>
      <c r="L72" s="768" t="s">
        <v>102</v>
      </c>
    </row>
    <row r="73" spans="2:12" ht="28.8">
      <c r="B73" s="764" t="s">
        <v>99</v>
      </c>
      <c r="C73" s="764" t="s">
        <v>24</v>
      </c>
      <c r="D73" s="764" t="s">
        <v>129</v>
      </c>
      <c r="E73" s="764" t="s">
        <v>134</v>
      </c>
      <c r="F73" s="764" t="s">
        <v>102</v>
      </c>
      <c r="G73" s="764" t="s">
        <v>107</v>
      </c>
      <c r="H73" s="765" cm="1">
        <f t="array" ref="H73">_xlfn.XLOOKUP(E73&amp;G73,'1.3 Procesos industriales'!$B$12:$B$67&amp;'1.3 Procesos industriales'!$C$12:$C$67,'1.3 Procesos industriales'!$T$12:$T$67,"-")</f>
        <v>1.46</v>
      </c>
      <c r="I73" s="764" t="str" cm="1">
        <f t="array" ref="I73">_xlfn.XLOOKUP(E73&amp;G73,'1.3 Procesos industriales'!$B$12:$B$67&amp;'1.3 Procesos industriales'!$C$12:$C$67,'1.3 Procesos industriales'!$U$12:$U$67,"-")</f>
        <v>kgCO2e/kilogramos</v>
      </c>
      <c r="J73" s="764" t="str" cm="1">
        <f t="array" ref="J73">_xlfn.XLOOKUP(E73&amp;G73,'1.3 Procesos industriales'!$B$12:$B$67&amp;'1.3 Procesos industriales'!$C$12:$C$67,'1.3 Procesos industriales'!$V$12:$V$67,"-")</f>
        <v>INGEI + IPCC 2006. Ver su hoja correspondiente para más detalles.</v>
      </c>
      <c r="K73" s="764" t="s">
        <v>102</v>
      </c>
      <c r="L73" s="768" t="s">
        <v>102</v>
      </c>
    </row>
    <row r="74" spans="2:12" ht="28.8">
      <c r="B74" s="764" t="s">
        <v>99</v>
      </c>
      <c r="C74" s="764" t="s">
        <v>24</v>
      </c>
      <c r="D74" s="764" t="s">
        <v>129</v>
      </c>
      <c r="E74" s="764" t="s">
        <v>134</v>
      </c>
      <c r="F74" s="764" t="s">
        <v>102</v>
      </c>
      <c r="G74" s="764" t="s">
        <v>108</v>
      </c>
      <c r="H74" s="769" cm="1">
        <f t="array" ref="H74">_xlfn.XLOOKUP(E74&amp;G74,'1.3 Procesos industriales'!$B$12:$B$67&amp;'1.3 Procesos industriales'!$C$12:$C$67,'1.3 Procesos industriales'!$T$12:$T$67,"-")</f>
        <v>1.4599999999999999E-3</v>
      </c>
      <c r="I74" s="764" t="str" cm="1">
        <f t="array" ref="I74">_xlfn.XLOOKUP(E74&amp;G74,'1.3 Procesos industriales'!$B$12:$B$67&amp;'1.3 Procesos industriales'!$C$12:$C$67,'1.3 Procesos industriales'!$U$12:$U$67,"-")</f>
        <v>kgCO2e/gramos</v>
      </c>
      <c r="J74" s="764" t="str" cm="1">
        <f t="array" ref="J74">_xlfn.XLOOKUP(E74&amp;G74,'1.3 Procesos industriales'!$B$12:$B$67&amp;'1.3 Procesos industriales'!$C$12:$C$67,'1.3 Procesos industriales'!$V$12:$V$67,"-")</f>
        <v>INGEI + IPCC 2006. Ver su hoja correspondiente para más detalles.</v>
      </c>
      <c r="K74" s="764" t="s">
        <v>102</v>
      </c>
      <c r="L74" s="768" t="s">
        <v>102</v>
      </c>
    </row>
    <row r="75" spans="2:12" ht="28.8">
      <c r="B75" s="764" t="s">
        <v>99</v>
      </c>
      <c r="C75" s="764" t="s">
        <v>24</v>
      </c>
      <c r="D75" s="764" t="s">
        <v>129</v>
      </c>
      <c r="E75" s="764" t="s">
        <v>135</v>
      </c>
      <c r="F75" s="764" t="s">
        <v>102</v>
      </c>
      <c r="G75" s="764" t="s">
        <v>106</v>
      </c>
      <c r="H75" s="765" cm="1">
        <f t="array" ref="H75">_xlfn.XLOOKUP(E75&amp;G75,'1.3 Procesos industriales'!$B$12:$B$67&amp;'1.3 Procesos industriales'!$C$12:$C$67,'1.3 Procesos industriales'!$T$12:$T$67,"-")</f>
        <v>80</v>
      </c>
      <c r="I75" s="764" t="str" cm="1">
        <f t="array" ref="I75">_xlfn.XLOOKUP(E75&amp;G75,'1.3 Procesos industriales'!$B$12:$B$67&amp;'1.3 Procesos industriales'!$C$12:$C$67,'1.3 Procesos industriales'!$U$12:$U$67,"-")</f>
        <v>kgCO2e/toneladas</v>
      </c>
      <c r="J75" s="764" t="str" cm="1">
        <f t="array" ref="J75">_xlfn.XLOOKUP(E75&amp;G75,'1.3 Procesos industriales'!$B$12:$B$67&amp;'1.3 Procesos industriales'!$C$12:$C$67,'1.3 Procesos industriales'!$V$12:$V$67,"-")</f>
        <v>INGEI + IPCC 2006. Ver su hoja correspondiente para más detalles.</v>
      </c>
      <c r="K75" s="764" t="s">
        <v>102</v>
      </c>
      <c r="L75" s="768" t="s">
        <v>102</v>
      </c>
    </row>
    <row r="76" spans="2:12" ht="28.8">
      <c r="B76" s="764" t="s">
        <v>99</v>
      </c>
      <c r="C76" s="764" t="s">
        <v>24</v>
      </c>
      <c r="D76" s="764" t="s">
        <v>129</v>
      </c>
      <c r="E76" s="764" t="s">
        <v>135</v>
      </c>
      <c r="F76" s="764" t="s">
        <v>102</v>
      </c>
      <c r="G76" s="764" t="s">
        <v>107</v>
      </c>
      <c r="H76" s="765" cm="1">
        <f t="array" ref="H76">_xlfn.XLOOKUP(E76&amp;G76,'1.3 Procesos industriales'!$B$12:$B$67&amp;'1.3 Procesos industriales'!$C$12:$C$67,'1.3 Procesos industriales'!$T$12:$T$67,"-")</f>
        <v>0.08</v>
      </c>
      <c r="I76" s="764" t="str" cm="1">
        <f t="array" ref="I76">_xlfn.XLOOKUP(E76&amp;G76,'1.3 Procesos industriales'!$B$12:$B$67&amp;'1.3 Procesos industriales'!$C$12:$C$67,'1.3 Procesos industriales'!$U$12:$U$67,"-")</f>
        <v>kgCO2e/kilogramos</v>
      </c>
      <c r="J76" s="764" t="str" cm="1">
        <f t="array" ref="J76">_xlfn.XLOOKUP(E76&amp;G76,'1.3 Procesos industriales'!$B$12:$B$67&amp;'1.3 Procesos industriales'!$C$12:$C$67,'1.3 Procesos industriales'!$V$12:$V$67,"-")</f>
        <v>INGEI + IPCC 2006. Ver su hoja correspondiente para más detalles.</v>
      </c>
      <c r="K76" s="764" t="s">
        <v>102</v>
      </c>
      <c r="L76" s="768" t="s">
        <v>102</v>
      </c>
    </row>
    <row r="77" spans="2:12" ht="28.8">
      <c r="B77" s="764" t="s">
        <v>99</v>
      </c>
      <c r="C77" s="764" t="s">
        <v>24</v>
      </c>
      <c r="D77" s="764" t="s">
        <v>129</v>
      </c>
      <c r="E77" s="764" t="s">
        <v>135</v>
      </c>
      <c r="F77" s="764" t="s">
        <v>102</v>
      </c>
      <c r="G77" s="764" t="s">
        <v>108</v>
      </c>
      <c r="H77" s="769" cm="1">
        <f t="array" ref="H77">_xlfn.XLOOKUP(E77&amp;G77,'1.3 Procesos industriales'!$B$12:$B$67&amp;'1.3 Procesos industriales'!$C$12:$C$67,'1.3 Procesos industriales'!$T$12:$T$67,"-")</f>
        <v>8.0000000000000007E-5</v>
      </c>
      <c r="I77" s="764" t="str" cm="1">
        <f t="array" ref="I77">_xlfn.XLOOKUP(E77&amp;G77,'1.3 Procesos industriales'!$B$12:$B$67&amp;'1.3 Procesos industriales'!$C$12:$C$67,'1.3 Procesos industriales'!$U$12:$U$67,"-")</f>
        <v>kgCO2e/gramos</v>
      </c>
      <c r="J77" s="764" t="str" cm="1">
        <f t="array" ref="J77">_xlfn.XLOOKUP(E77&amp;G77,'1.3 Procesos industriales'!$B$12:$B$67&amp;'1.3 Procesos industriales'!$C$12:$C$67,'1.3 Procesos industriales'!$V$12:$V$67,"-")</f>
        <v>INGEI + IPCC 2006. Ver su hoja correspondiente para más detalles.</v>
      </c>
      <c r="K77" s="764" t="s">
        <v>102</v>
      </c>
      <c r="L77" s="768" t="s">
        <v>102</v>
      </c>
    </row>
    <row r="78" spans="2:12" ht="28.8">
      <c r="B78" s="764" t="s">
        <v>99</v>
      </c>
      <c r="C78" s="764" t="s">
        <v>24</v>
      </c>
      <c r="D78" s="764" t="s">
        <v>136</v>
      </c>
      <c r="E78" s="764" t="s">
        <v>137</v>
      </c>
      <c r="F78" s="764" t="s">
        <v>102</v>
      </c>
      <c r="G78" s="764" t="s">
        <v>131</v>
      </c>
      <c r="H78" s="765" cm="1">
        <f t="array" ref="H78">_xlfn.XLOOKUP(E78&amp;G78,'1.3 Procesos industriales'!$B$12:$B$67&amp;'1.3 Procesos industriales'!$C$12:$C$67,'1.3 Procesos industriales'!$T$12:$T$67,"-")</f>
        <v>583</v>
      </c>
      <c r="I78" s="764" t="str" cm="1">
        <f t="array" ref="I78">_xlfn.XLOOKUP(E78&amp;G78,'1.3 Procesos industriales'!$B$12:$B$67&amp;'1.3 Procesos industriales'!$C$12:$C$67,'1.3 Procesos industriales'!$U$12:$U$67,"-")</f>
        <v>kgCO2e/tonelada</v>
      </c>
      <c r="J78" s="764" t="str" cm="1">
        <f t="array" ref="J78">_xlfn.XLOOKUP(E78&amp;G78,'1.3 Procesos industriales'!$B$12:$B$67&amp;'1.3 Procesos industriales'!$C$12:$C$67,'1.3 Procesos industriales'!$V$12:$V$67,"-")</f>
        <v>INGEI + IPCC 2006. Ver su hoja correspondiente para más detalles.</v>
      </c>
      <c r="K78" s="764" t="s">
        <v>102</v>
      </c>
      <c r="L78" s="768" t="s">
        <v>102</v>
      </c>
    </row>
    <row r="79" spans="2:12" ht="28.8">
      <c r="B79" s="764" t="s">
        <v>99</v>
      </c>
      <c r="C79" s="764" t="s">
        <v>24</v>
      </c>
      <c r="D79" s="764" t="s">
        <v>136</v>
      </c>
      <c r="E79" s="764" t="s">
        <v>137</v>
      </c>
      <c r="F79" s="764" t="s">
        <v>102</v>
      </c>
      <c r="G79" s="764" t="s">
        <v>107</v>
      </c>
      <c r="H79" s="765" cm="1">
        <f t="array" ref="H79">_xlfn.XLOOKUP(E79&amp;G79,'1.3 Procesos industriales'!$B$12:$B$67&amp;'1.3 Procesos industriales'!$C$12:$C$67,'1.3 Procesos industriales'!$T$12:$T$67,"-")</f>
        <v>0.58300000000000007</v>
      </c>
      <c r="I79" s="764" t="str" cm="1">
        <f t="array" ref="I79">_xlfn.XLOOKUP(E79&amp;G79,'1.3 Procesos industriales'!$B$12:$B$67&amp;'1.3 Procesos industriales'!$C$12:$C$67,'1.3 Procesos industriales'!$U$12:$U$67,"-")</f>
        <v>kgCO2e/kilogramos</v>
      </c>
      <c r="J79" s="764" t="str" cm="1">
        <f t="array" ref="J79">_xlfn.XLOOKUP(E79&amp;G79,'1.3 Procesos industriales'!$B$12:$B$67&amp;'1.3 Procesos industriales'!$C$12:$C$67,'1.3 Procesos industriales'!$V$12:$V$67,"-")</f>
        <v>INGEI + IPCC 2006. Ver su hoja correspondiente para más detalles.</v>
      </c>
      <c r="K79" s="764" t="s">
        <v>102</v>
      </c>
      <c r="L79" s="768" t="s">
        <v>102</v>
      </c>
    </row>
    <row r="80" spans="2:12" ht="28.8">
      <c r="B80" s="764" t="s">
        <v>99</v>
      </c>
      <c r="C80" s="764" t="s">
        <v>24</v>
      </c>
      <c r="D80" s="764" t="s">
        <v>136</v>
      </c>
      <c r="E80" s="764" t="s">
        <v>137</v>
      </c>
      <c r="F80" s="764" t="s">
        <v>102</v>
      </c>
      <c r="G80" s="764" t="s">
        <v>108</v>
      </c>
      <c r="H80" s="769" cm="1">
        <f t="array" ref="H80">_xlfn.XLOOKUP(E80&amp;G80,'1.3 Procesos industriales'!$B$12:$B$67&amp;'1.3 Procesos industriales'!$C$12:$C$67,'1.3 Procesos industriales'!$T$12:$T$67,"-")</f>
        <v>5.8300000000000008E-4</v>
      </c>
      <c r="I80" s="764" t="str" cm="1">
        <f t="array" ref="I80">_xlfn.XLOOKUP(E80&amp;G80,'1.3 Procesos industriales'!$B$12:$B$67&amp;'1.3 Procesos industriales'!$C$12:$C$67,'1.3 Procesos industriales'!$U$12:$U$67,"-")</f>
        <v>kgCO2e/gramos</v>
      </c>
      <c r="J80" s="764" t="str" cm="1">
        <f t="array" ref="J80">_xlfn.XLOOKUP(E80&amp;G80,'1.3 Procesos industriales'!$B$12:$B$67&amp;'1.3 Procesos industriales'!$C$12:$C$67,'1.3 Procesos industriales'!$V$12:$V$67,"-")</f>
        <v>INGEI + IPCC 2006. Ver su hoja correspondiente para más detalles.</v>
      </c>
      <c r="K80" s="764" t="s">
        <v>102</v>
      </c>
      <c r="L80" s="768" t="s">
        <v>102</v>
      </c>
    </row>
    <row r="81" spans="2:12" ht="43.2">
      <c r="B81" s="764" t="s">
        <v>99</v>
      </c>
      <c r="C81" s="764" t="s">
        <v>24</v>
      </c>
      <c r="D81" s="764" t="s">
        <v>136</v>
      </c>
      <c r="E81" s="764" t="s">
        <v>138</v>
      </c>
      <c r="F81" s="764" t="s">
        <v>102</v>
      </c>
      <c r="G81" s="764" t="s">
        <v>106</v>
      </c>
      <c r="H81" s="765" cm="1">
        <f t="array" ref="H81">_xlfn.XLOOKUP(E81&amp;G81,'1.3 Procesos industriales'!$B$12:$B$67&amp;'1.3 Procesos industriales'!$C$12:$C$67,'1.3 Procesos industriales'!$T$12:$T$67,"-")</f>
        <v>728.75</v>
      </c>
      <c r="I81" s="764" t="str" cm="1">
        <f t="array" ref="I81">_xlfn.XLOOKUP(E81&amp;G81,'1.3 Procesos industriales'!$B$12:$B$67&amp;'1.3 Procesos industriales'!$C$12:$C$67,'1.3 Procesos industriales'!$U$12:$U$67,"-")</f>
        <v>kgCO2e/toneladas</v>
      </c>
      <c r="J81" s="764" t="str" cm="1">
        <f t="array" ref="J81">_xlfn.XLOOKUP(E81&amp;G81,'1.3 Procesos industriales'!$B$12:$B$67&amp;'1.3 Procesos industriales'!$C$12:$C$67,'1.3 Procesos industriales'!$V$12:$V$67,"-")</f>
        <v>INGEI + IPCC 2006. Ver su hoja correspondiente para más detalles.</v>
      </c>
      <c r="K81" s="764" t="s">
        <v>102</v>
      </c>
      <c r="L81" s="768" t="s">
        <v>102</v>
      </c>
    </row>
    <row r="82" spans="2:12" ht="43.2">
      <c r="B82" s="764" t="s">
        <v>99</v>
      </c>
      <c r="C82" s="764" t="s">
        <v>24</v>
      </c>
      <c r="D82" s="764" t="s">
        <v>136</v>
      </c>
      <c r="E82" s="764" t="s">
        <v>138</v>
      </c>
      <c r="F82" s="764" t="s">
        <v>102</v>
      </c>
      <c r="G82" s="764" t="s">
        <v>107</v>
      </c>
      <c r="H82" s="765" cm="1">
        <f t="array" ref="H82">_xlfn.XLOOKUP(E82&amp;G82,'1.3 Procesos industriales'!$B$12:$B$67&amp;'1.3 Procesos industriales'!$C$12:$C$67,'1.3 Procesos industriales'!$T$12:$T$67,"-")</f>
        <v>0.72875000000000001</v>
      </c>
      <c r="I82" s="764" t="str" cm="1">
        <f t="array" ref="I82">_xlfn.XLOOKUP(E82&amp;G82,'1.3 Procesos industriales'!$B$12:$B$67&amp;'1.3 Procesos industriales'!$C$12:$C$67,'1.3 Procesos industriales'!$U$12:$U$67,"-")</f>
        <v>kgCO2e/kilogramos</v>
      </c>
      <c r="J82" s="764" t="str" cm="1">
        <f t="array" ref="J82">_xlfn.XLOOKUP(E82&amp;G82,'1.3 Procesos industriales'!$B$12:$B$67&amp;'1.3 Procesos industriales'!$C$12:$C$67,'1.3 Procesos industriales'!$V$12:$V$67,"-")</f>
        <v>INGEI + IPCC 2006. Ver su hoja correspondiente para más detalles.</v>
      </c>
      <c r="K82" s="764" t="s">
        <v>102</v>
      </c>
      <c r="L82" s="768" t="s">
        <v>102</v>
      </c>
    </row>
    <row r="83" spans="2:12" ht="43.2">
      <c r="B83" s="764" t="s">
        <v>99</v>
      </c>
      <c r="C83" s="764" t="s">
        <v>24</v>
      </c>
      <c r="D83" s="764" t="s">
        <v>136</v>
      </c>
      <c r="E83" s="764" t="s">
        <v>138</v>
      </c>
      <c r="F83" s="764" t="s">
        <v>102</v>
      </c>
      <c r="G83" s="764" t="s">
        <v>108</v>
      </c>
      <c r="H83" s="769" cm="1">
        <f t="array" ref="H83">_xlfn.XLOOKUP(E83&amp;G83,'1.3 Procesos industriales'!$B$12:$B$67&amp;'1.3 Procesos industriales'!$C$12:$C$67,'1.3 Procesos industriales'!$T$12:$T$67,"-")</f>
        <v>7.2875000000000001E-4</v>
      </c>
      <c r="I83" s="764" t="str" cm="1">
        <f t="array" ref="I83">_xlfn.XLOOKUP(E83&amp;G83,'1.3 Procesos industriales'!$B$12:$B$67&amp;'1.3 Procesos industriales'!$C$12:$C$67,'1.3 Procesos industriales'!$U$12:$U$67,"-")</f>
        <v>kgCO2e/gramos</v>
      </c>
      <c r="J83" s="764" t="str" cm="1">
        <f t="array" ref="J83">_xlfn.XLOOKUP(E83&amp;G83,'1.3 Procesos industriales'!$B$12:$B$67&amp;'1.3 Procesos industriales'!$C$12:$C$67,'1.3 Procesos industriales'!$V$12:$V$67,"-")</f>
        <v>INGEI + IPCC 2006. Ver su hoja correspondiente para más detalles.</v>
      </c>
      <c r="K83" s="764" t="s">
        <v>102</v>
      </c>
      <c r="L83" s="768" t="s">
        <v>102</v>
      </c>
    </row>
    <row r="84" spans="2:12" ht="43.2">
      <c r="B84" s="764" t="s">
        <v>99</v>
      </c>
      <c r="C84" s="764" t="s">
        <v>24</v>
      </c>
      <c r="D84" s="764" t="s">
        <v>136</v>
      </c>
      <c r="E84" s="764" t="s">
        <v>139</v>
      </c>
      <c r="F84" s="764" t="s">
        <v>102</v>
      </c>
      <c r="G84" s="764" t="s">
        <v>106</v>
      </c>
      <c r="H84" s="765" cm="1">
        <f t="array" ref="H84">_xlfn.XLOOKUP(E84&amp;G84,'1.3 Procesos industriales'!$B$12:$B$67&amp;'1.3 Procesos industriales'!$C$12:$C$67,'1.3 Procesos industriales'!$T$12:$T$67,"-")</f>
        <v>1457.5</v>
      </c>
      <c r="I84" s="764" t="str" cm="1">
        <f t="array" ref="I84">_xlfn.XLOOKUP(E84&amp;G84,'1.3 Procesos industriales'!$B$12:$B$67&amp;'1.3 Procesos industriales'!$C$12:$C$67,'1.3 Procesos industriales'!$U$12:$U$67,"-")</f>
        <v>kgCO2e/toneladas</v>
      </c>
      <c r="J84" s="764" t="str" cm="1">
        <f t="array" ref="J84">_xlfn.XLOOKUP(E84&amp;G84,'1.3 Procesos industriales'!$B$12:$B$67&amp;'1.3 Procesos industriales'!$C$12:$C$67,'1.3 Procesos industriales'!$V$12:$V$67,"-")</f>
        <v>INGEI + IPCC 2006. Ver su hoja correspondiente para más detalles.</v>
      </c>
      <c r="K84" s="764" t="s">
        <v>102</v>
      </c>
      <c r="L84" s="768" t="s">
        <v>102</v>
      </c>
    </row>
    <row r="85" spans="2:12" ht="43.2">
      <c r="B85" s="764" t="s">
        <v>99</v>
      </c>
      <c r="C85" s="764" t="s">
        <v>24</v>
      </c>
      <c r="D85" s="764" t="s">
        <v>136</v>
      </c>
      <c r="E85" s="764" t="s">
        <v>139</v>
      </c>
      <c r="F85" s="764" t="s">
        <v>102</v>
      </c>
      <c r="G85" s="764" t="s">
        <v>107</v>
      </c>
      <c r="H85" s="765" cm="1">
        <f t="array" ref="H85">_xlfn.XLOOKUP(E85&amp;G85,'1.3 Procesos industriales'!$B$12:$B$67&amp;'1.3 Procesos industriales'!$C$12:$C$67,'1.3 Procesos industriales'!$T$12:$T$67,"-")</f>
        <v>1.4575</v>
      </c>
      <c r="I85" s="764" t="str" cm="1">
        <f t="array" ref="I85">_xlfn.XLOOKUP(E85&amp;G85,'1.3 Procesos industriales'!$B$12:$B$67&amp;'1.3 Procesos industriales'!$C$12:$C$67,'1.3 Procesos industriales'!$U$12:$U$67,"-")</f>
        <v>kgCO2e/kilogramos</v>
      </c>
      <c r="J85" s="764" t="str" cm="1">
        <f t="array" ref="J85">_xlfn.XLOOKUP(E85&amp;G85,'1.3 Procesos industriales'!$B$12:$B$67&amp;'1.3 Procesos industriales'!$C$12:$C$67,'1.3 Procesos industriales'!$V$12:$V$67,"-")</f>
        <v>INGEI + IPCC 2006. Ver su hoja correspondiente para más detalles.</v>
      </c>
      <c r="K85" s="764" t="s">
        <v>102</v>
      </c>
      <c r="L85" s="768" t="s">
        <v>102</v>
      </c>
    </row>
    <row r="86" spans="2:12" ht="43.2">
      <c r="B86" s="764" t="s">
        <v>99</v>
      </c>
      <c r="C86" s="764" t="s">
        <v>24</v>
      </c>
      <c r="D86" s="764" t="s">
        <v>136</v>
      </c>
      <c r="E86" s="764" t="s">
        <v>139</v>
      </c>
      <c r="F86" s="764" t="s">
        <v>102</v>
      </c>
      <c r="G86" s="764" t="s">
        <v>108</v>
      </c>
      <c r="H86" s="769" cm="1">
        <f t="array" ref="H86">_xlfn.XLOOKUP(E86&amp;G86,'1.3 Procesos industriales'!$B$12:$B$67&amp;'1.3 Procesos industriales'!$C$12:$C$67,'1.3 Procesos industriales'!$T$12:$T$67,"-")</f>
        <v>1.4575E-3</v>
      </c>
      <c r="I86" s="764" t="str" cm="1">
        <f t="array" ref="I86">_xlfn.XLOOKUP(E86&amp;G86,'1.3 Procesos industriales'!$B$12:$B$67&amp;'1.3 Procesos industriales'!$C$12:$C$67,'1.3 Procesos industriales'!$U$12:$U$67,"-")</f>
        <v>kgCO2e/gramos</v>
      </c>
      <c r="J86" s="764" t="str" cm="1">
        <f t="array" ref="J86">_xlfn.XLOOKUP(E86&amp;G86,'1.3 Procesos industriales'!$B$12:$B$67&amp;'1.3 Procesos industriales'!$C$12:$C$67,'1.3 Procesos industriales'!$V$12:$V$67,"-")</f>
        <v>INGEI + IPCC 2006. Ver su hoja correspondiente para más detalles.</v>
      </c>
      <c r="K86" s="764" t="s">
        <v>102</v>
      </c>
      <c r="L86" s="768" t="s">
        <v>102</v>
      </c>
    </row>
    <row r="87" spans="2:12" ht="43.2">
      <c r="B87" s="764" t="s">
        <v>99</v>
      </c>
      <c r="C87" s="764" t="s">
        <v>24</v>
      </c>
      <c r="D87" s="764" t="s">
        <v>136</v>
      </c>
      <c r="E87" s="764" t="s">
        <v>140</v>
      </c>
      <c r="F87" s="764" t="s">
        <v>102</v>
      </c>
      <c r="G87" s="764" t="s">
        <v>106</v>
      </c>
      <c r="H87" s="765" cm="1">
        <f t="array" ref="H87">_xlfn.XLOOKUP(E87&amp;G87,'1.3 Procesos industriales'!$B$12:$B$67&amp;'1.3 Procesos industriales'!$C$12:$C$67,'1.3 Procesos industriales'!$T$12:$T$67,"-")</f>
        <v>2040.5000000000002</v>
      </c>
      <c r="I87" s="764" t="str" cm="1">
        <f t="array" ref="I87">_xlfn.XLOOKUP(E87&amp;G87,'1.3 Procesos industriales'!$B$12:$B$67&amp;'1.3 Procesos industriales'!$C$12:$C$67,'1.3 Procesos industriales'!$U$12:$U$67,"-")</f>
        <v>kgCO2e/toneladas</v>
      </c>
      <c r="J87" s="764" t="str" cm="1">
        <f t="array" ref="J87">_xlfn.XLOOKUP(E87&amp;G87,'1.3 Procesos industriales'!$B$12:$B$67&amp;'1.3 Procesos industriales'!$C$12:$C$67,'1.3 Procesos industriales'!$V$12:$V$67,"-")</f>
        <v>INGEI + IPCC 2006. Ver su hoja correspondiente para más detalles.</v>
      </c>
      <c r="K87" s="764" t="s">
        <v>102</v>
      </c>
      <c r="L87" s="768" t="s">
        <v>102</v>
      </c>
    </row>
    <row r="88" spans="2:12" ht="43.2">
      <c r="B88" s="764" t="s">
        <v>99</v>
      </c>
      <c r="C88" s="764" t="s">
        <v>24</v>
      </c>
      <c r="D88" s="764" t="s">
        <v>136</v>
      </c>
      <c r="E88" s="764" t="s">
        <v>140</v>
      </c>
      <c r="F88" s="764" t="s">
        <v>102</v>
      </c>
      <c r="G88" s="764" t="s">
        <v>107</v>
      </c>
      <c r="H88" s="765" cm="1">
        <f t="array" ref="H88">_xlfn.XLOOKUP(E88&amp;G88,'1.3 Procesos industriales'!$B$12:$B$67&amp;'1.3 Procesos industriales'!$C$12:$C$67,'1.3 Procesos industriales'!$T$12:$T$67,"-")</f>
        <v>2.0405000000000002</v>
      </c>
      <c r="I88" s="764" t="str" cm="1">
        <f t="array" ref="I88">_xlfn.XLOOKUP(E88&amp;G88,'1.3 Procesos industriales'!$B$12:$B$67&amp;'1.3 Procesos industriales'!$C$12:$C$67,'1.3 Procesos industriales'!$U$12:$U$67,"-")</f>
        <v>kgCO2e/kilogramos</v>
      </c>
      <c r="J88" s="764" t="str" cm="1">
        <f t="array" ref="J88">_xlfn.XLOOKUP(E88&amp;G88,'1.3 Procesos industriales'!$B$12:$B$67&amp;'1.3 Procesos industriales'!$C$12:$C$67,'1.3 Procesos industriales'!$V$12:$V$67,"-")</f>
        <v>INGEI + IPCC 2006. Ver su hoja correspondiente para más detalles.</v>
      </c>
      <c r="K88" s="764" t="s">
        <v>102</v>
      </c>
      <c r="L88" s="768" t="s">
        <v>102</v>
      </c>
    </row>
    <row r="89" spans="2:12" ht="43.2">
      <c r="B89" s="764" t="s">
        <v>99</v>
      </c>
      <c r="C89" s="764" t="s">
        <v>24</v>
      </c>
      <c r="D89" s="764" t="s">
        <v>136</v>
      </c>
      <c r="E89" s="764" t="s">
        <v>140</v>
      </c>
      <c r="F89" s="764" t="s">
        <v>102</v>
      </c>
      <c r="G89" s="764" t="s">
        <v>108</v>
      </c>
      <c r="H89" s="769" cm="1">
        <f t="array" ref="H89">_xlfn.XLOOKUP(E89&amp;G89,'1.3 Procesos industriales'!$B$12:$B$67&amp;'1.3 Procesos industriales'!$C$12:$C$67,'1.3 Procesos industriales'!$T$12:$T$67,"-")</f>
        <v>2.0405000000000002E-3</v>
      </c>
      <c r="I89" s="764" t="str" cm="1">
        <f t="array" ref="I89">_xlfn.XLOOKUP(E89&amp;G89,'1.3 Procesos industriales'!$B$12:$B$67&amp;'1.3 Procesos industriales'!$C$12:$C$67,'1.3 Procesos industriales'!$U$12:$U$67,"-")</f>
        <v>kgCO2e/gramos</v>
      </c>
      <c r="J89" s="764" t="str" cm="1">
        <f t="array" ref="J89">_xlfn.XLOOKUP(E89&amp;G89,'1.3 Procesos industriales'!$B$12:$B$67&amp;'1.3 Procesos industriales'!$C$12:$C$67,'1.3 Procesos industriales'!$V$12:$V$67,"-")</f>
        <v>INGEI + IPCC 2006. Ver su hoja correspondiente para más detalles.</v>
      </c>
      <c r="K89" s="764" t="s">
        <v>102</v>
      </c>
      <c r="L89" s="768" t="s">
        <v>102</v>
      </c>
    </row>
    <row r="90" spans="2:12" ht="43.2">
      <c r="B90" s="764" t="s">
        <v>99</v>
      </c>
      <c r="C90" s="764" t="s">
        <v>24</v>
      </c>
      <c r="D90" s="764" t="s">
        <v>136</v>
      </c>
      <c r="E90" s="764" t="s">
        <v>141</v>
      </c>
      <c r="F90" s="764" t="s">
        <v>102</v>
      </c>
      <c r="G90" s="764" t="s">
        <v>106</v>
      </c>
      <c r="H90" s="765" cm="1">
        <f t="array" ref="H90">_xlfn.XLOOKUP(E90&amp;G90,'1.3 Procesos industriales'!$B$12:$B$67&amp;'1.3 Procesos industriales'!$C$12:$C$67,'1.3 Procesos industriales'!$T$12:$T$67,"-")</f>
        <v>2623.5</v>
      </c>
      <c r="I90" s="764" t="str" cm="1">
        <f t="array" ref="I90">_xlfn.XLOOKUP(E90&amp;G90,'1.3 Procesos industriales'!$B$12:$B$67&amp;'1.3 Procesos industriales'!$C$12:$C$67,'1.3 Procesos industriales'!$U$12:$U$67,"-")</f>
        <v>kgCO2e/toneladas</v>
      </c>
      <c r="J90" s="764" t="str" cm="1">
        <f t="array" ref="J90">_xlfn.XLOOKUP(E90&amp;G90,'1.3 Procesos industriales'!$B$12:$B$67&amp;'1.3 Procesos industriales'!$C$12:$C$67,'1.3 Procesos industriales'!$V$12:$V$67,"-")</f>
        <v>INGEI + IPCC 2006. Ver su hoja correspondiente para más detalles.</v>
      </c>
      <c r="K90" s="764" t="s">
        <v>102</v>
      </c>
      <c r="L90" s="768" t="s">
        <v>102</v>
      </c>
    </row>
    <row r="91" spans="2:12" ht="43.2">
      <c r="B91" s="764" t="s">
        <v>99</v>
      </c>
      <c r="C91" s="764" t="s">
        <v>24</v>
      </c>
      <c r="D91" s="764" t="s">
        <v>136</v>
      </c>
      <c r="E91" s="764" t="s">
        <v>141</v>
      </c>
      <c r="F91" s="764" t="s">
        <v>102</v>
      </c>
      <c r="G91" s="764" t="s">
        <v>107</v>
      </c>
      <c r="H91" s="765" cm="1">
        <f t="array" ref="H91">_xlfn.XLOOKUP(E91&amp;G91,'1.3 Procesos industriales'!$B$12:$B$67&amp;'1.3 Procesos industriales'!$C$12:$C$67,'1.3 Procesos industriales'!$T$12:$T$67,"-")</f>
        <v>2.6235000000000004</v>
      </c>
      <c r="I91" s="764" t="str" cm="1">
        <f t="array" ref="I91">_xlfn.XLOOKUP(E91&amp;G91,'1.3 Procesos industriales'!$B$12:$B$67&amp;'1.3 Procesos industriales'!$C$12:$C$67,'1.3 Procesos industriales'!$U$12:$U$67,"-")</f>
        <v>kgCO2e/kilogramos</v>
      </c>
      <c r="J91" s="764" t="str" cm="1">
        <f t="array" ref="J91">_xlfn.XLOOKUP(E91&amp;G91,'1.3 Procesos industriales'!$B$12:$B$67&amp;'1.3 Procesos industriales'!$C$12:$C$67,'1.3 Procesos industriales'!$V$12:$V$67,"-")</f>
        <v>INGEI + IPCC 2006. Ver su hoja correspondiente para más detalles.</v>
      </c>
      <c r="K91" s="764" t="s">
        <v>102</v>
      </c>
      <c r="L91" s="768" t="s">
        <v>102</v>
      </c>
    </row>
    <row r="92" spans="2:12" ht="43.2">
      <c r="B92" s="764" t="s">
        <v>99</v>
      </c>
      <c r="C92" s="764" t="s">
        <v>24</v>
      </c>
      <c r="D92" s="764" t="s">
        <v>136</v>
      </c>
      <c r="E92" s="764" t="s">
        <v>141</v>
      </c>
      <c r="F92" s="764" t="s">
        <v>102</v>
      </c>
      <c r="G92" s="764" t="s">
        <v>108</v>
      </c>
      <c r="H92" s="773" cm="1">
        <f t="array" ref="H92">_xlfn.XLOOKUP(E92&amp;G92,'1.3 Procesos industriales'!$B$12:$B$67&amp;'1.3 Procesos industriales'!$C$12:$C$67,'1.3 Procesos industriales'!$T$12:$T$67,"-")</f>
        <v>2.6235E-3</v>
      </c>
      <c r="I92" s="764" t="str" cm="1">
        <f t="array" ref="I92">_xlfn.XLOOKUP(E92&amp;G92,'1.3 Procesos industriales'!$B$12:$B$67&amp;'1.3 Procesos industriales'!$C$12:$C$67,'1.3 Procesos industriales'!$U$12:$U$67,"-")</f>
        <v>kgCO2e/gramos</v>
      </c>
      <c r="J92" s="764" t="str" cm="1">
        <f t="array" ref="J92">_xlfn.XLOOKUP(E92&amp;G92,'1.3 Procesos industriales'!$B$12:$B$67&amp;'1.3 Procesos industriales'!$C$12:$C$67,'1.3 Procesos industriales'!$V$12:$V$67,"-")</f>
        <v>INGEI + IPCC 2006. Ver su hoja correspondiente para más detalles.</v>
      </c>
      <c r="K92" s="764" t="s">
        <v>102</v>
      </c>
      <c r="L92" s="768" t="s">
        <v>102</v>
      </c>
    </row>
    <row r="93" spans="2:12" ht="43.2">
      <c r="B93" s="764" t="s">
        <v>99</v>
      </c>
      <c r="C93" s="764" t="s">
        <v>36</v>
      </c>
      <c r="D93" s="764" t="s">
        <v>142</v>
      </c>
      <c r="E93" s="764" t="s">
        <v>143</v>
      </c>
      <c r="F93" s="764" t="s">
        <v>102</v>
      </c>
      <c r="G93" s="764" t="s">
        <v>107</v>
      </c>
      <c r="H93" s="774" cm="1">
        <f t="array" ref="H93">_xlfn.XLOOKUP(E93&amp;G93,'1.4 Emisiones fugitivas'!$C$7:$C$61&amp;'1.4 Emisiones fugitivas'!$F$7:$F$61,'1.4 Emisiones fugitivas'!$G$7:$G$61,"-")</f>
        <v>858</v>
      </c>
      <c r="I93" s="764" t="str" cm="1">
        <f t="array" ref="I93">_xlfn.XLOOKUP(E93&amp;G93,'1.4 Emisiones fugitivas'!$C$7:$C$61&amp;'1.4 Emisiones fugitivas'!$F$7:$F$61,'1.4 Emisiones fugitivas'!$H$7:$H$61,"-")</f>
        <v>kgCO2e/kilogramos</v>
      </c>
      <c r="J93" s="764" t="str" cm="1">
        <f t="array" ref="J93">_xlfn.XLOOKUP(E93&amp;G93,'1.4 Emisiones fugitivas'!$C$7:$C$61&amp;'1.4 Emisiones fugitivas'!$F$7:$F$61,'1.4 Emisiones fugitivas'!$I$7:$I$61,"-")</f>
        <v>IPCC 2006 (vol3; chapter 7) , Table 7.8 | IPCC 2012 (AR5; chapter 8), Table 8.A.1</v>
      </c>
      <c r="K93" s="764" t="s">
        <v>102</v>
      </c>
      <c r="L93" s="768" t="s">
        <v>102</v>
      </c>
    </row>
    <row r="94" spans="2:12" ht="43.2">
      <c r="B94" s="764" t="s">
        <v>99</v>
      </c>
      <c r="C94" s="764" t="s">
        <v>36</v>
      </c>
      <c r="D94" s="764" t="s">
        <v>142</v>
      </c>
      <c r="E94" s="764" t="s">
        <v>144</v>
      </c>
      <c r="F94" s="764" t="s">
        <v>102</v>
      </c>
      <c r="G94" s="764" t="s">
        <v>107</v>
      </c>
      <c r="H94" s="774" cm="1">
        <f t="array" ref="H94">_xlfn.XLOOKUP(E94&amp;G94,'1.4 Emisiones fugitivas'!$C$7:$C$61&amp;'1.4 Emisiones fugitivas'!$F$7:$F$61,'1.4 Emisiones fugitivas'!$G$7:$G$61,"-")</f>
        <v>677</v>
      </c>
      <c r="I94" s="764" t="str" cm="1">
        <f t="array" ref="I94">_xlfn.XLOOKUP(E94&amp;G94,'1.4 Emisiones fugitivas'!$C$7:$C$61&amp;'1.4 Emisiones fugitivas'!$F$7:$F$61,'1.4 Emisiones fugitivas'!$H$7:$H$61,"-")</f>
        <v>kgCO2e/kilogramos</v>
      </c>
      <c r="J94" s="764" t="str" cm="1">
        <f t="array" ref="J94">_xlfn.XLOOKUP(E94&amp;G94,'1.4 Emisiones fugitivas'!$C$7:$C$61&amp;'1.4 Emisiones fugitivas'!$F$7:$F$61,'1.4 Emisiones fugitivas'!$I$7:$I$61,"-")</f>
        <v>IPCC 2006 (vol3; chapter 7) , Table 7.8 | IPCC 2012 (AR5; chapter 8), Table 8.A.1</v>
      </c>
      <c r="K94" s="764" t="s">
        <v>102</v>
      </c>
      <c r="L94" s="768" t="s">
        <v>102</v>
      </c>
    </row>
    <row r="95" spans="2:12" ht="43.2">
      <c r="B95" s="764" t="s">
        <v>99</v>
      </c>
      <c r="C95" s="764" t="s">
        <v>36</v>
      </c>
      <c r="D95" s="764" t="s">
        <v>142</v>
      </c>
      <c r="E95" s="764" t="s">
        <v>145</v>
      </c>
      <c r="F95" s="764" t="s">
        <v>102</v>
      </c>
      <c r="G95" s="764" t="s">
        <v>107</v>
      </c>
      <c r="H95" s="774" cm="1">
        <f t="array" ref="H95">_xlfn.XLOOKUP(E95&amp;G95,'1.4 Emisiones fugitivas'!$C$7:$C$61&amp;'1.4 Emisiones fugitivas'!$F$7:$F$61,'1.4 Emisiones fugitivas'!$G$7:$G$61,"-")</f>
        <v>116</v>
      </c>
      <c r="I95" s="764" t="str" cm="1">
        <f t="array" ref="I95">_xlfn.XLOOKUP(E95&amp;G95,'1.4 Emisiones fugitivas'!$C$7:$C$61&amp;'1.4 Emisiones fugitivas'!$F$7:$F$61,'1.4 Emisiones fugitivas'!$H$7:$H$61,"-")</f>
        <v>kgCO2e/kilogramos</v>
      </c>
      <c r="J95" s="764" t="str" cm="1">
        <f t="array" ref="J95">_xlfn.XLOOKUP(E95&amp;G95,'1.4 Emisiones fugitivas'!$C$7:$C$61&amp;'1.4 Emisiones fugitivas'!$F$7:$F$61,'1.4 Emisiones fugitivas'!$I$7:$I$61,"-")</f>
        <v>IPCC 2006 (vol3; chapter 7) , Table 7.8 | IPCC 2012 (AR5; chapter 8), Table 8.A.1</v>
      </c>
      <c r="K95" s="764" t="s">
        <v>102</v>
      </c>
      <c r="L95" s="768" t="s">
        <v>102</v>
      </c>
    </row>
    <row r="96" spans="2:12" ht="43.2">
      <c r="B96" s="764" t="s">
        <v>99</v>
      </c>
      <c r="C96" s="764" t="s">
        <v>36</v>
      </c>
      <c r="D96" s="764" t="s">
        <v>142</v>
      </c>
      <c r="E96" s="764" t="s">
        <v>146</v>
      </c>
      <c r="F96" s="764" t="s">
        <v>102</v>
      </c>
      <c r="G96" s="764" t="s">
        <v>107</v>
      </c>
      <c r="H96" s="774" cm="1">
        <f t="array" ref="H96">_xlfn.XLOOKUP(E96&amp;G96,'1.4 Emisiones fugitivas'!$C$7:$C$61&amp;'1.4 Emisiones fugitivas'!$F$7:$F$61,'1.4 Emisiones fugitivas'!$G$7:$G$61,"-")</f>
        <v>1650</v>
      </c>
      <c r="I96" s="764" t="str" cm="1">
        <f t="array" ref="I96">_xlfn.XLOOKUP(E96&amp;G96,'1.4 Emisiones fugitivas'!$C$7:$C$61&amp;'1.4 Emisiones fugitivas'!$F$7:$F$61,'1.4 Emisiones fugitivas'!$H$7:$H$61,"-")</f>
        <v>kgCO2e/kilogramos</v>
      </c>
      <c r="J96" s="764" t="str" cm="1">
        <f t="array" ref="J96">_xlfn.XLOOKUP(E96&amp;G96,'1.4 Emisiones fugitivas'!$C$7:$C$61&amp;'1.4 Emisiones fugitivas'!$F$7:$F$61,'1.4 Emisiones fugitivas'!$I$7:$I$61,"-")</f>
        <v>IPCC 2006 (vol3; chapter 7) , Table 7.8 | IPCC 2012 (AR5; chapter 8), Table 8.A.1</v>
      </c>
      <c r="K96" s="764" t="s">
        <v>102</v>
      </c>
      <c r="L96" s="768" t="s">
        <v>102</v>
      </c>
    </row>
    <row r="97" spans="2:12" ht="43.2">
      <c r="B97" s="764" t="s">
        <v>99</v>
      </c>
      <c r="C97" s="764" t="s">
        <v>36</v>
      </c>
      <c r="D97" s="764" t="s">
        <v>142</v>
      </c>
      <c r="E97" s="764" t="s">
        <v>147</v>
      </c>
      <c r="F97" s="764" t="s">
        <v>102</v>
      </c>
      <c r="G97" s="764" t="s">
        <v>107</v>
      </c>
      <c r="H97" s="774" cm="1">
        <f t="array" ref="H97">_xlfn.XLOOKUP(E97&amp;G97,'1.4 Emisiones fugitivas'!$C$7:$C$61&amp;'1.4 Emisiones fugitivas'!$F$7:$F$61,'1.4 Emisiones fugitivas'!$G$7:$G$61,"-")</f>
        <v>9200</v>
      </c>
      <c r="I97" s="764" t="str" cm="1">
        <f t="array" ref="I97">_xlfn.XLOOKUP(E97&amp;G97,'1.4 Emisiones fugitivas'!$C$7:$C$61&amp;'1.4 Emisiones fugitivas'!$F$7:$F$61,'1.4 Emisiones fugitivas'!$H$7:$H$61,"-")</f>
        <v>kgCO2e/kilogramos</v>
      </c>
      <c r="J97" s="764" t="str" cm="1">
        <f t="array" ref="J97">_xlfn.XLOOKUP(E97&amp;G97,'1.4 Emisiones fugitivas'!$C$7:$C$61&amp;'1.4 Emisiones fugitivas'!$F$7:$F$61,'1.4 Emisiones fugitivas'!$I$7:$I$61,"-")</f>
        <v>IPCC 2006 (vol3; chapter 7) , Table 7.8 | IPCC 2012 (AR5; chapter 8), Table 8.A.1</v>
      </c>
      <c r="K97" s="764" t="s">
        <v>102</v>
      </c>
      <c r="L97" s="768" t="s">
        <v>102</v>
      </c>
    </row>
    <row r="98" spans="2:12" ht="43.2">
      <c r="B98" s="764" t="s">
        <v>99</v>
      </c>
      <c r="C98" s="764" t="s">
        <v>36</v>
      </c>
      <c r="D98" s="764" t="s">
        <v>142</v>
      </c>
      <c r="E98" s="764" t="s">
        <v>148</v>
      </c>
      <c r="F98" s="764" t="s">
        <v>102</v>
      </c>
      <c r="G98" s="764" t="s">
        <v>107</v>
      </c>
      <c r="H98" s="774" cm="1">
        <f t="array" ref="H98">_xlfn.XLOOKUP(E98&amp;G98,'1.4 Emisiones fugitivas'!$C$7:$C$61&amp;'1.4 Emisiones fugitivas'!$F$7:$F$61,'1.4 Emisiones fugitivas'!$G$7:$G$61,"-")</f>
        <v>9540</v>
      </c>
      <c r="I98" s="764" t="str" cm="1">
        <f t="array" ref="I98">_xlfn.XLOOKUP(E98&amp;G98,'1.4 Emisiones fugitivas'!$C$7:$C$61&amp;'1.4 Emisiones fugitivas'!$F$7:$F$61,'1.4 Emisiones fugitivas'!$H$7:$H$61,"-")</f>
        <v>kgCO2e/kilogramos</v>
      </c>
      <c r="J98" s="764" t="str" cm="1">
        <f t="array" ref="J98">_xlfn.XLOOKUP(E98&amp;G98,'1.4 Emisiones fugitivas'!$C$7:$C$61&amp;'1.4 Emisiones fugitivas'!$F$7:$F$61,'1.4 Emisiones fugitivas'!$I$7:$I$61,"-")</f>
        <v>IPCC 2006 (vol3; chapter 7) , Table 7.8 | IPCC 2012 (AR5; chapter 8), Table 8.A.1</v>
      </c>
      <c r="K98" s="764" t="s">
        <v>102</v>
      </c>
      <c r="L98" s="768" t="s">
        <v>102</v>
      </c>
    </row>
    <row r="99" spans="2:12" ht="43.2">
      <c r="B99" s="764" t="s">
        <v>99</v>
      </c>
      <c r="C99" s="764" t="s">
        <v>36</v>
      </c>
      <c r="D99" s="764" t="s">
        <v>142</v>
      </c>
      <c r="E99" s="764" t="s">
        <v>149</v>
      </c>
      <c r="F99" s="764" t="s">
        <v>102</v>
      </c>
      <c r="G99" s="764" t="s">
        <v>107</v>
      </c>
      <c r="H99" s="774" cm="1">
        <f t="array" ref="H99">_xlfn.XLOOKUP(E99&amp;G99,'1.4 Emisiones fugitivas'!$C$7:$C$61&amp;'1.4 Emisiones fugitivas'!$F$7:$F$61,'1.4 Emisiones fugitivas'!$G$7:$G$61,"-")</f>
        <v>11100</v>
      </c>
      <c r="I99" s="764" t="str" cm="1">
        <f t="array" ref="I99">_xlfn.XLOOKUP(E99&amp;G99,'1.4 Emisiones fugitivas'!$C$7:$C$61&amp;'1.4 Emisiones fugitivas'!$F$7:$F$61,'1.4 Emisiones fugitivas'!$H$7:$H$61,"-")</f>
        <v>kgCO2e/kilogramos</v>
      </c>
      <c r="J99" s="764" t="str" cm="1">
        <f t="array" ref="J99">_xlfn.XLOOKUP(E99&amp;G99,'1.4 Emisiones fugitivas'!$C$7:$C$61&amp;'1.4 Emisiones fugitivas'!$F$7:$F$61,'1.4 Emisiones fugitivas'!$I$7:$I$61,"-")</f>
        <v>IPCC 2006 (vol3; chapter 7) , Table 7.8 | IPCC 2012 (AR5; chapter 8), Table 8.A.1</v>
      </c>
      <c r="K99" s="764" t="s">
        <v>102</v>
      </c>
      <c r="L99" s="768" t="s">
        <v>102</v>
      </c>
    </row>
    <row r="100" spans="2:12" ht="43.2">
      <c r="B100" s="764" t="s">
        <v>99</v>
      </c>
      <c r="C100" s="764" t="s">
        <v>36</v>
      </c>
      <c r="D100" s="764" t="s">
        <v>142</v>
      </c>
      <c r="E100" s="764" t="s">
        <v>150</v>
      </c>
      <c r="F100" s="764" t="s">
        <v>102</v>
      </c>
      <c r="G100" s="764" t="s">
        <v>107</v>
      </c>
      <c r="H100" s="774" cm="1">
        <f t="array" ref="H100">_xlfn.XLOOKUP(E100&amp;G100,'1.4 Emisiones fugitivas'!$C$7:$C$61&amp;'1.4 Emisiones fugitivas'!$F$7:$F$61,'1.4 Emisiones fugitivas'!$G$7:$G$61,"-")</f>
        <v>7910</v>
      </c>
      <c r="I100" s="764" t="str" cm="1">
        <f t="array" ref="I100">_xlfn.XLOOKUP(E100&amp;G100,'1.4 Emisiones fugitivas'!$C$7:$C$61&amp;'1.4 Emisiones fugitivas'!$F$7:$F$61,'1.4 Emisiones fugitivas'!$H$7:$H$61,"-")</f>
        <v>kgCO2e/kilogramos</v>
      </c>
      <c r="J100" s="764" t="str" cm="1">
        <f t="array" ref="J100">_xlfn.XLOOKUP(E100&amp;G100,'1.4 Emisiones fugitivas'!$C$7:$C$61&amp;'1.4 Emisiones fugitivas'!$F$7:$F$61,'1.4 Emisiones fugitivas'!$I$7:$I$61,"-")</f>
        <v>IPCC 2006 (vol3; chapter 7) , Table 7.8 | IPCC 2012 (AR5; chapter 8), Table 8.A.1</v>
      </c>
      <c r="K100" s="764" t="s">
        <v>102</v>
      </c>
      <c r="L100" s="768" t="s">
        <v>102</v>
      </c>
    </row>
    <row r="101" spans="2:12" ht="43.2">
      <c r="B101" s="764" t="s">
        <v>99</v>
      </c>
      <c r="C101" s="764" t="s">
        <v>36</v>
      </c>
      <c r="D101" s="764" t="s">
        <v>142</v>
      </c>
      <c r="E101" s="764" t="s">
        <v>151</v>
      </c>
      <c r="F101" s="764" t="s">
        <v>102</v>
      </c>
      <c r="G101" s="764" t="s">
        <v>107</v>
      </c>
      <c r="H101" s="774" cm="1">
        <f t="array" ref="H101">_xlfn.XLOOKUP(E101&amp;G101,'1.4 Emisiones fugitivas'!$C$7:$C$61&amp;'1.4 Emisiones fugitivas'!$F$7:$F$61,'1.4 Emisiones fugitivas'!$G$7:$G$61,"-")</f>
        <v>6630</v>
      </c>
      <c r="I101" s="764" t="str" cm="1">
        <f t="array" ref="I101">_xlfn.XLOOKUP(E101&amp;G101,'1.4 Emisiones fugitivas'!$C$7:$C$61&amp;'1.4 Emisiones fugitivas'!$F$7:$F$61,'1.4 Emisiones fugitivas'!$H$7:$H$61,"-")</f>
        <v>kgCO2e/kilogramos</v>
      </c>
      <c r="J101" s="764" t="str" cm="1">
        <f t="array" ref="J101">_xlfn.XLOOKUP(E101&amp;G101,'1.4 Emisiones fugitivas'!$C$7:$C$61&amp;'1.4 Emisiones fugitivas'!$F$7:$F$61,'1.4 Emisiones fugitivas'!$I$7:$I$61,"-")</f>
        <v>IPCC 2006 (vol3; chapter 7) , Table 7.8 | IPCC 2012 (AR5; chapter 8), Table 8.A.1</v>
      </c>
      <c r="K101" s="764" t="s">
        <v>102</v>
      </c>
      <c r="L101" s="768" t="s">
        <v>102</v>
      </c>
    </row>
    <row r="102" spans="2:12" ht="43.2">
      <c r="B102" s="764" t="s">
        <v>99</v>
      </c>
      <c r="C102" s="764" t="s">
        <v>36</v>
      </c>
      <c r="D102" s="764" t="s">
        <v>142</v>
      </c>
      <c r="E102" s="764" t="s">
        <v>152</v>
      </c>
      <c r="F102" s="764" t="s">
        <v>102</v>
      </c>
      <c r="G102" s="764" t="s">
        <v>107</v>
      </c>
      <c r="H102" s="774" cm="1">
        <f t="array" ref="H102">_xlfn.XLOOKUP(E102&amp;G102,'1.4 Emisiones fugitivas'!$C$7:$C$61&amp;'1.4 Emisiones fugitivas'!$F$7:$F$61,'1.4 Emisiones fugitivas'!$G$7:$G$61,"-")</f>
        <v>8550</v>
      </c>
      <c r="I102" s="764" t="str" cm="1">
        <f t="array" ref="I102">_xlfn.XLOOKUP(E102&amp;G102,'1.4 Emisiones fugitivas'!$C$7:$C$61&amp;'1.4 Emisiones fugitivas'!$F$7:$F$61,'1.4 Emisiones fugitivas'!$H$7:$H$61,"-")</f>
        <v>kgCO2e/kilogramos</v>
      </c>
      <c r="J102" s="764" t="str" cm="1">
        <f t="array" ref="J102">_xlfn.XLOOKUP(E102&amp;G102,'1.4 Emisiones fugitivas'!$C$7:$C$61&amp;'1.4 Emisiones fugitivas'!$F$7:$F$61,'1.4 Emisiones fugitivas'!$I$7:$I$61,"-")</f>
        <v>IPCC 2006 (vol3; chapter 7) , Table 7.8 | IPCC 2012 (AR5; chapter 8), Table 8.A.1</v>
      </c>
      <c r="K102" s="764" t="s">
        <v>102</v>
      </c>
      <c r="L102" s="768" t="s">
        <v>102</v>
      </c>
    </row>
    <row r="103" spans="2:12" ht="43.2">
      <c r="B103" s="764" t="s">
        <v>99</v>
      </c>
      <c r="C103" s="764" t="s">
        <v>36</v>
      </c>
      <c r="D103" s="764" t="s">
        <v>142</v>
      </c>
      <c r="E103" s="764" t="s">
        <v>153</v>
      </c>
      <c r="F103" s="764" t="s">
        <v>102</v>
      </c>
      <c r="G103" s="764" t="s">
        <v>107</v>
      </c>
      <c r="H103" s="774" cm="1">
        <f t="array" ref="H103">_xlfn.XLOOKUP(E103&amp;G103,'1.4 Emisiones fugitivas'!$C$7:$C$61&amp;'1.4 Emisiones fugitivas'!$F$7:$F$61,'1.4 Emisiones fugitivas'!$G$7:$G$61,"-")</f>
        <v>3170</v>
      </c>
      <c r="I103" s="764" t="str" cm="1">
        <f t="array" ref="I103">_xlfn.XLOOKUP(E103&amp;G103,'1.4 Emisiones fugitivas'!$C$7:$C$61&amp;'1.4 Emisiones fugitivas'!$F$7:$F$61,'1.4 Emisiones fugitivas'!$H$7:$H$61,"-")</f>
        <v>kgCO2e/kilogramos</v>
      </c>
      <c r="J103" s="764" t="str" cm="1">
        <f t="array" ref="J103">_xlfn.XLOOKUP(E103&amp;G103,'1.4 Emisiones fugitivas'!$C$7:$C$61&amp;'1.4 Emisiones fugitivas'!$F$7:$F$61,'1.4 Emisiones fugitivas'!$I$7:$I$61,"-")</f>
        <v>IPCC 2006 (vol3; chapter 7) , Table 7.8 | IPCC 2012 (AR5; chapter 8), Table 8.A.1</v>
      </c>
      <c r="K103" s="764" t="s">
        <v>102</v>
      </c>
      <c r="L103" s="768" t="s">
        <v>102</v>
      </c>
    </row>
    <row r="104" spans="2:12" ht="43.2">
      <c r="B104" s="764" t="s">
        <v>99</v>
      </c>
      <c r="C104" s="764" t="s">
        <v>36</v>
      </c>
      <c r="D104" s="764" t="s">
        <v>142</v>
      </c>
      <c r="E104" s="764" t="s">
        <v>154</v>
      </c>
      <c r="F104" s="764" t="s">
        <v>102</v>
      </c>
      <c r="G104" s="764" t="s">
        <v>107</v>
      </c>
      <c r="H104" s="774" cm="1">
        <f t="array" ref="H104">_xlfn.XLOOKUP(E104&amp;G104,'1.4 Emisiones fugitivas'!$C$7:$C$61&amp;'1.4 Emisiones fugitivas'!$F$7:$F$61,'1.4 Emisiones fugitivas'!$G$7:$G$61,"-")</f>
        <v>8900</v>
      </c>
      <c r="I104" s="764" t="str" cm="1">
        <f t="array" ref="I104">_xlfn.XLOOKUP(E104&amp;G104,'1.4 Emisiones fugitivas'!$C$7:$C$61&amp;'1.4 Emisiones fugitivas'!$F$7:$F$61,'1.4 Emisiones fugitivas'!$H$7:$H$61,"-")</f>
        <v>kgCO2e/kilogramos</v>
      </c>
      <c r="J104" s="764" t="str" cm="1">
        <f t="array" ref="J104">_xlfn.XLOOKUP(E104&amp;G104,'1.4 Emisiones fugitivas'!$C$7:$C$61&amp;'1.4 Emisiones fugitivas'!$F$7:$F$61,'1.4 Emisiones fugitivas'!$I$7:$I$61,"-")</f>
        <v>IPCC 2006 (vol3; chapter 7) , Table 7.8 | IPCC 2012 (AR5; chapter 8), Table 8.A.1</v>
      </c>
      <c r="K104" s="764" t="s">
        <v>102</v>
      </c>
      <c r="L104" s="768" t="s">
        <v>102</v>
      </c>
    </row>
    <row r="105" spans="2:12" ht="43.2">
      <c r="B105" s="764" t="s">
        <v>99</v>
      </c>
      <c r="C105" s="764" t="s">
        <v>36</v>
      </c>
      <c r="D105" s="764" t="s">
        <v>142</v>
      </c>
      <c r="E105" s="764" t="s">
        <v>155</v>
      </c>
      <c r="F105" s="764" t="s">
        <v>102</v>
      </c>
      <c r="G105" s="764" t="s">
        <v>107</v>
      </c>
      <c r="H105" s="774" cm="1">
        <f t="array" ref="H105">_xlfn.XLOOKUP(E105&amp;G105,'1.4 Emisiones fugitivas'!$C$7:$C$61&amp;'1.4 Emisiones fugitivas'!$F$7:$F$61,'1.4 Emisiones fugitivas'!$G$7:$G$61,"-")</f>
        <v>23500</v>
      </c>
      <c r="I105" s="764" t="str" cm="1">
        <f t="array" ref="I105">_xlfn.XLOOKUP(E105&amp;G105,'1.4 Emisiones fugitivas'!$C$7:$C$61&amp;'1.4 Emisiones fugitivas'!$F$7:$F$61,'1.4 Emisiones fugitivas'!$H$7:$H$61,"-")</f>
        <v>kgCO2e/kilogramos</v>
      </c>
      <c r="J105" s="764" t="str" cm="1">
        <f t="array" ref="J105">_xlfn.XLOOKUP(E105&amp;G105,'1.4 Emisiones fugitivas'!$C$7:$C$61&amp;'1.4 Emisiones fugitivas'!$F$7:$F$61,'1.4 Emisiones fugitivas'!$I$7:$I$61,"-")</f>
        <v>IPCC 2006 (vol3; chapter 7) , Table 7.8 | IPCC 2012 (AR5; chapter 8), Table 8.A.1</v>
      </c>
      <c r="K105" s="764" t="s">
        <v>102</v>
      </c>
      <c r="L105" s="768" t="s">
        <v>102</v>
      </c>
    </row>
    <row r="106" spans="2:12" ht="43.2">
      <c r="B106" s="764" t="s">
        <v>99</v>
      </c>
      <c r="C106" s="764" t="s">
        <v>36</v>
      </c>
      <c r="D106" s="764" t="s">
        <v>142</v>
      </c>
      <c r="E106" s="764" t="s">
        <v>156</v>
      </c>
      <c r="F106" s="764" t="s">
        <v>102</v>
      </c>
      <c r="G106" s="764" t="s">
        <v>107</v>
      </c>
      <c r="H106" s="774" cm="1">
        <f t="array" ref="H106">_xlfn.XLOOKUP(E106&amp;G106,'1.4 Emisiones fugitivas'!$C$7:$C$61&amp;'1.4 Emisiones fugitivas'!$F$7:$F$61,'1.4 Emisiones fugitivas'!$G$7:$G$61,"-")</f>
        <v>28</v>
      </c>
      <c r="I106" s="764" t="str" cm="1">
        <f t="array" ref="I106">_xlfn.XLOOKUP(E106&amp;G106,'1.4 Emisiones fugitivas'!$C$7:$C$61&amp;'1.4 Emisiones fugitivas'!$F$7:$F$61,'1.4 Emisiones fugitivas'!$H$7:$H$61,"-")</f>
        <v>kgCO2e/kilogramos</v>
      </c>
      <c r="J106" s="764" t="str" cm="1">
        <f t="array" ref="J106">_xlfn.XLOOKUP(E106&amp;G106,'1.4 Emisiones fugitivas'!$C$7:$C$61&amp;'1.4 Emisiones fugitivas'!$F$7:$F$61,'1.4 Emisiones fugitivas'!$I$7:$I$61,"-")</f>
        <v>IPCC 2006 (vol3; chapter 7) , Table 7.8 | IPCC 2012 (AR5; chapter 8), Table 8.A.1</v>
      </c>
      <c r="K106" s="764" t="s">
        <v>102</v>
      </c>
      <c r="L106" s="768" t="s">
        <v>102</v>
      </c>
    </row>
    <row r="107" spans="2:12" ht="43.2">
      <c r="B107" s="764" t="s">
        <v>99</v>
      </c>
      <c r="C107" s="764" t="s">
        <v>36</v>
      </c>
      <c r="D107" s="764" t="s">
        <v>142</v>
      </c>
      <c r="E107" s="764" t="s">
        <v>157</v>
      </c>
      <c r="F107" s="764" t="s">
        <v>102</v>
      </c>
      <c r="G107" s="764" t="s">
        <v>107</v>
      </c>
      <c r="H107" s="774" cm="1">
        <f t="array" ref="H107">_xlfn.XLOOKUP(E107&amp;G107,'1.4 Emisiones fugitivas'!$C$7:$C$61&amp;'1.4 Emisiones fugitivas'!$F$7:$F$61,'1.4 Emisiones fugitivas'!$G$7:$G$61,"-")</f>
        <v>16100</v>
      </c>
      <c r="I107" s="764" t="str" cm="1">
        <f t="array" ref="I107">_xlfn.XLOOKUP(E107&amp;G107,'1.4 Emisiones fugitivas'!$C$7:$C$61&amp;'1.4 Emisiones fugitivas'!$F$7:$F$61,'1.4 Emisiones fugitivas'!$H$7:$H$61,"-")</f>
        <v>kgCO2e/kilogramos</v>
      </c>
      <c r="J107" s="764" t="str" cm="1">
        <f t="array" ref="J107">_xlfn.XLOOKUP(E107&amp;G107,'1.4 Emisiones fugitivas'!$C$7:$C$61&amp;'1.4 Emisiones fugitivas'!$F$7:$F$61,'1.4 Emisiones fugitivas'!$I$7:$I$61,"-")</f>
        <v>IPCC 2006 (vol3; chapter 7) , Table 7.8 | IPCC 2012 (AR5; chapter 8), Table 8.A.1</v>
      </c>
      <c r="K107" s="764" t="s">
        <v>102</v>
      </c>
      <c r="L107" s="768" t="s">
        <v>102</v>
      </c>
    </row>
    <row r="108" spans="2:12" ht="43.2">
      <c r="B108" s="764" t="s">
        <v>99</v>
      </c>
      <c r="C108" s="764" t="s">
        <v>36</v>
      </c>
      <c r="D108" s="764" t="s">
        <v>142</v>
      </c>
      <c r="E108" s="764" t="s">
        <v>158</v>
      </c>
      <c r="F108" s="764" t="s">
        <v>102</v>
      </c>
      <c r="G108" s="764" t="s">
        <v>107</v>
      </c>
      <c r="H108" s="774" cm="1">
        <f t="array" ref="H108">_xlfn.XLOOKUP(E108&amp;G108,'1.4 Emisiones fugitivas'!$C$7:$C$61&amp;'1.4 Emisiones fugitivas'!$F$7:$F$61,'1.4 Emisiones fugitivas'!$G$7:$G$61,"-")</f>
        <v>3942.8</v>
      </c>
      <c r="I108" s="764" t="str" cm="1">
        <f t="array" ref="I108">_xlfn.XLOOKUP(E108&amp;G108,'1.4 Emisiones fugitivas'!$C$7:$C$61&amp;'1.4 Emisiones fugitivas'!$F$7:$F$61,'1.4 Emisiones fugitivas'!$H$7:$H$61,"-")</f>
        <v>kgCO2e/kilogramos</v>
      </c>
      <c r="J108" s="764" t="str" cm="1">
        <f t="array" ref="J108">_xlfn.XLOOKUP(E108&amp;G108,'1.4 Emisiones fugitivas'!$C$7:$C$61&amp;'1.4 Emisiones fugitivas'!$F$7:$F$61,'1.4 Emisiones fugitivas'!$I$7:$I$61,"-")</f>
        <v>IPCC 2006 (vol3; chapter 7) , Table 7.8 | IPCC 2012 (AR5; chapter 8), Table 8.A.1</v>
      </c>
      <c r="K108" s="764" t="s">
        <v>102</v>
      </c>
      <c r="L108" s="768" t="s">
        <v>102</v>
      </c>
    </row>
    <row r="109" spans="2:12" ht="43.2">
      <c r="B109" s="764" t="s">
        <v>99</v>
      </c>
      <c r="C109" s="764" t="s">
        <v>36</v>
      </c>
      <c r="D109" s="764" t="s">
        <v>142</v>
      </c>
      <c r="E109" s="764" t="s">
        <v>159</v>
      </c>
      <c r="F109" s="764" t="s">
        <v>102</v>
      </c>
      <c r="G109" s="764" t="s">
        <v>107</v>
      </c>
      <c r="H109" s="774" cm="1">
        <f t="array" ref="H109">_xlfn.XLOOKUP(E109&amp;G109,'1.4 Emisiones fugitivas'!$C$7:$C$61&amp;'1.4 Emisiones fugitivas'!$F$7:$F$61,'1.4 Emisiones fugitivas'!$G$7:$G$61,"-")</f>
        <v>1923.4</v>
      </c>
      <c r="I109" s="764" t="str" cm="1">
        <f t="array" ref="I109">_xlfn.XLOOKUP(E109&amp;G109,'1.4 Emisiones fugitivas'!$C$7:$C$61&amp;'1.4 Emisiones fugitivas'!$F$7:$F$61,'1.4 Emisiones fugitivas'!$H$7:$H$61,"-")</f>
        <v>kgCO2e/kilogramos</v>
      </c>
      <c r="J109" s="764" t="str" cm="1">
        <f t="array" ref="J109">_xlfn.XLOOKUP(E109&amp;G109,'1.4 Emisiones fugitivas'!$C$7:$C$61&amp;'1.4 Emisiones fugitivas'!$F$7:$F$61,'1.4 Emisiones fugitivas'!$I$7:$I$61,"-")</f>
        <v>IPCC 2006 (vol3; chapter 7) , Table 7.8 | IPCC 2012 (AR5; chapter 8), Table 8.A.1</v>
      </c>
      <c r="K109" s="764" t="s">
        <v>102</v>
      </c>
      <c r="L109" s="768" t="s">
        <v>102</v>
      </c>
    </row>
    <row r="110" spans="2:12" ht="43.2">
      <c r="B110" s="764" t="s">
        <v>99</v>
      </c>
      <c r="C110" s="764" t="s">
        <v>36</v>
      </c>
      <c r="D110" s="764" t="s">
        <v>142</v>
      </c>
      <c r="E110" s="764" t="s">
        <v>160</v>
      </c>
      <c r="F110" s="764" t="s">
        <v>102</v>
      </c>
      <c r="G110" s="764" t="s">
        <v>107</v>
      </c>
      <c r="H110" s="774" cm="1">
        <f t="array" ref="H110">_xlfn.XLOOKUP(E110&amp;G110,'1.4 Emisiones fugitivas'!$C$7:$C$61&amp;'1.4 Emisiones fugitivas'!$F$7:$F$61,'1.4 Emisiones fugitivas'!$G$7:$G$61,"-")</f>
        <v>2546.6999999999998</v>
      </c>
      <c r="I110" s="764" t="str" cm="1">
        <f t="array" ref="I110">_xlfn.XLOOKUP(E110&amp;G110,'1.4 Emisiones fugitivas'!$C$7:$C$61&amp;'1.4 Emisiones fugitivas'!$F$7:$F$61,'1.4 Emisiones fugitivas'!$H$7:$H$61,"-")</f>
        <v>kgCO2e/kilogramos</v>
      </c>
      <c r="J110" s="764" t="str" cm="1">
        <f t="array" ref="J110">_xlfn.XLOOKUP(E110&amp;G110,'1.4 Emisiones fugitivas'!$C$7:$C$61&amp;'1.4 Emisiones fugitivas'!$F$7:$F$61,'1.4 Emisiones fugitivas'!$I$7:$I$61,"-")</f>
        <v>IPCC 2006 (vol3; chapter 7) , Table 7.8 | IPCC 2012 (AR5; chapter 8), Table 8.A.1</v>
      </c>
      <c r="K110" s="764" t="s">
        <v>102</v>
      </c>
      <c r="L110" s="768" t="s">
        <v>102</v>
      </c>
    </row>
    <row r="111" spans="2:12" ht="43.2">
      <c r="B111" s="764" t="s">
        <v>99</v>
      </c>
      <c r="C111" s="764" t="s">
        <v>36</v>
      </c>
      <c r="D111" s="764" t="s">
        <v>142</v>
      </c>
      <c r="E111" s="764" t="s">
        <v>161</v>
      </c>
      <c r="F111" s="764" t="s">
        <v>102</v>
      </c>
      <c r="G111" s="764" t="s">
        <v>107</v>
      </c>
      <c r="H111" s="774" cm="1">
        <f t="array" ref="H111">_xlfn.XLOOKUP(E111&amp;G111,'1.4 Emisiones fugitivas'!$C$7:$C$61&amp;'1.4 Emisiones fugitivas'!$F$7:$F$61,'1.4 Emisiones fugitivas'!$G$7:$G$61,"-")</f>
        <v>1624.21</v>
      </c>
      <c r="I111" s="764" t="str" cm="1">
        <f t="array" ref="I111">_xlfn.XLOOKUP(E111&amp;G111,'1.4 Emisiones fugitivas'!$C$7:$C$61&amp;'1.4 Emisiones fugitivas'!$F$7:$F$61,'1.4 Emisiones fugitivas'!$H$7:$H$61,"-")</f>
        <v>kgCO2e/kilogramos</v>
      </c>
      <c r="J111" s="764" t="str" cm="1">
        <f t="array" ref="J111">_xlfn.XLOOKUP(E111&amp;G111,'1.4 Emisiones fugitivas'!$C$7:$C$61&amp;'1.4 Emisiones fugitivas'!$F$7:$F$61,'1.4 Emisiones fugitivas'!$I$7:$I$61,"-")</f>
        <v>IPCC 2006 (vol3; chapter 7) , Table 7.8 | IPCC 2012 (AR5; chapter 8), Table 8.A.1</v>
      </c>
      <c r="K111" s="764" t="s">
        <v>102</v>
      </c>
      <c r="L111" s="768" t="s">
        <v>102</v>
      </c>
    </row>
    <row r="112" spans="2:12" ht="43.2">
      <c r="B112" s="764" t="s">
        <v>99</v>
      </c>
      <c r="C112" s="764" t="s">
        <v>36</v>
      </c>
      <c r="D112" s="764" t="s">
        <v>142</v>
      </c>
      <c r="E112" s="764" t="s">
        <v>162</v>
      </c>
      <c r="F112" s="764" t="s">
        <v>102</v>
      </c>
      <c r="G112" s="764" t="s">
        <v>107</v>
      </c>
      <c r="H112" s="774" cm="1">
        <f t="array" ref="H112">_xlfn.XLOOKUP(E112&amp;G112,'1.4 Emisiones fugitivas'!$C$7:$C$61&amp;'1.4 Emisiones fugitivas'!$F$7:$F$61,'1.4 Emisiones fugitivas'!$G$7:$G$61,"-")</f>
        <v>1923.5</v>
      </c>
      <c r="I112" s="764" t="str" cm="1">
        <f t="array" ref="I112">_xlfn.XLOOKUP(E112&amp;G112,'1.4 Emisiones fugitivas'!$C$7:$C$61&amp;'1.4 Emisiones fugitivas'!$F$7:$F$61,'1.4 Emisiones fugitivas'!$H$7:$H$61,"-")</f>
        <v>kgCO2e/kilogramos</v>
      </c>
      <c r="J112" s="764" t="str" cm="1">
        <f t="array" ref="J112">_xlfn.XLOOKUP(E112&amp;G112,'1.4 Emisiones fugitivas'!$C$7:$C$61&amp;'1.4 Emisiones fugitivas'!$F$7:$F$61,'1.4 Emisiones fugitivas'!$I$7:$I$61,"-")</f>
        <v>IPCC 2006 (vol3; chapter 7) , Table 7.8 | IPCC 2012 (AR5; chapter 8), Table 8.A.1</v>
      </c>
      <c r="K112" s="764" t="s">
        <v>102</v>
      </c>
      <c r="L112" s="768" t="s">
        <v>102</v>
      </c>
    </row>
    <row r="113" spans="2:12" ht="43.2">
      <c r="B113" s="764" t="s">
        <v>99</v>
      </c>
      <c r="C113" s="764" t="s">
        <v>36</v>
      </c>
      <c r="D113" s="764" t="s">
        <v>142</v>
      </c>
      <c r="E113" s="764" t="s">
        <v>163</v>
      </c>
      <c r="F113" s="764" t="s">
        <v>102</v>
      </c>
      <c r="G113" s="764" t="s">
        <v>107</v>
      </c>
      <c r="H113" s="774" cm="1">
        <f t="array" ref="H113">_xlfn.XLOOKUP(E113&amp;G113,'1.4 Emisiones fugitivas'!$C$7:$C$61&amp;'1.4 Emisiones fugitivas'!$F$7:$F$61,'1.4 Emisiones fugitivas'!$G$7:$G$61,"-")</f>
        <v>2048.15</v>
      </c>
      <c r="I113" s="764" t="str" cm="1">
        <f t="array" ref="I113">_xlfn.XLOOKUP(E113&amp;G113,'1.4 Emisiones fugitivas'!$C$7:$C$61&amp;'1.4 Emisiones fugitivas'!$F$7:$F$61,'1.4 Emisiones fugitivas'!$H$7:$H$61,"-")</f>
        <v>kgCO2e/kilogramos</v>
      </c>
      <c r="J113" s="764" t="str" cm="1">
        <f t="array" ref="J113">_xlfn.XLOOKUP(E113&amp;G113,'1.4 Emisiones fugitivas'!$C$7:$C$61&amp;'1.4 Emisiones fugitivas'!$F$7:$F$61,'1.4 Emisiones fugitivas'!$I$7:$I$61,"-")</f>
        <v>IPCC 2006 (vol3; chapter 7) , Table 7.8 | IPCC 2012 (AR5; chapter 8), Table 8.A.1</v>
      </c>
      <c r="K113" s="764" t="s">
        <v>102</v>
      </c>
      <c r="L113" s="768" t="s">
        <v>102</v>
      </c>
    </row>
    <row r="114" spans="2:12" ht="43.2">
      <c r="B114" s="764" t="s">
        <v>99</v>
      </c>
      <c r="C114" s="764" t="s">
        <v>36</v>
      </c>
      <c r="D114" s="764" t="s">
        <v>142</v>
      </c>
      <c r="E114" s="764" t="s">
        <v>164</v>
      </c>
      <c r="F114" s="764" t="s">
        <v>102</v>
      </c>
      <c r="G114" s="764" t="s">
        <v>107</v>
      </c>
      <c r="H114" s="774" cm="1">
        <f t="array" ref="H114">_xlfn.XLOOKUP(E114&amp;G114,'1.4 Emisiones fugitivas'!$C$7:$C$61&amp;'1.4 Emisiones fugitivas'!$F$7:$F$61,'1.4 Emisiones fugitivas'!$G$7:$G$61,"-")</f>
        <v>1120</v>
      </c>
      <c r="I114" s="764" t="str" cm="1">
        <f t="array" ref="I114">_xlfn.XLOOKUP(E114&amp;G114,'1.4 Emisiones fugitivas'!$C$7:$C$61&amp;'1.4 Emisiones fugitivas'!$F$7:$F$61,'1.4 Emisiones fugitivas'!$H$7:$H$61,"-")</f>
        <v>kgCO2e/kilogramos</v>
      </c>
      <c r="J114" s="764" t="str" cm="1">
        <f t="array" ref="J114">_xlfn.XLOOKUP(E114&amp;G114,'1.4 Emisiones fugitivas'!$C$7:$C$61&amp;'1.4 Emisiones fugitivas'!$F$7:$F$61,'1.4 Emisiones fugitivas'!$I$7:$I$61,"-")</f>
        <v>IPCC 2006 (vol3; chapter 7) , Table 7.8 | IPCC 2012 (AR5; chapter 8), Table 8.A.1</v>
      </c>
      <c r="K114" s="764" t="s">
        <v>102</v>
      </c>
      <c r="L114" s="768" t="s">
        <v>102</v>
      </c>
    </row>
    <row r="115" spans="2:12" ht="43.2">
      <c r="B115" s="764" t="s">
        <v>99</v>
      </c>
      <c r="C115" s="764" t="s">
        <v>36</v>
      </c>
      <c r="D115" s="764" t="s">
        <v>142</v>
      </c>
      <c r="E115" s="764" t="s">
        <v>165</v>
      </c>
      <c r="F115" s="764" t="s">
        <v>102</v>
      </c>
      <c r="G115" s="764" t="s">
        <v>107</v>
      </c>
      <c r="H115" s="774" cm="1">
        <f t="array" ref="H115">_xlfn.XLOOKUP(E115&amp;G115,'1.4 Emisiones fugitivas'!$C$7:$C$61&amp;'1.4 Emisiones fugitivas'!$F$7:$F$61,'1.4 Emisiones fugitivas'!$G$7:$G$61,"-")</f>
        <v>3985</v>
      </c>
      <c r="I115" s="764" t="str" cm="1">
        <f t="array" ref="I115">_xlfn.XLOOKUP(E115&amp;G115,'1.4 Emisiones fugitivas'!$C$7:$C$61&amp;'1.4 Emisiones fugitivas'!$F$7:$F$61,'1.4 Emisiones fugitivas'!$H$7:$H$61,"-")</f>
        <v>kgCO2e/kilogramos</v>
      </c>
      <c r="J115" s="764" t="str" cm="1">
        <f t="array" ref="J115">_xlfn.XLOOKUP(E115&amp;G115,'1.4 Emisiones fugitivas'!$C$7:$C$61&amp;'1.4 Emisiones fugitivas'!$F$7:$F$61,'1.4 Emisiones fugitivas'!$I$7:$I$61,"-")</f>
        <v>IPCC 2006 (vol3; chapter 7) , Table 7.8 | IPCC 2012 (AR5; chapter 8), Table 8.A.1</v>
      </c>
      <c r="K115" s="764" t="s">
        <v>102</v>
      </c>
      <c r="L115" s="768" t="s">
        <v>102</v>
      </c>
    </row>
    <row r="116" spans="2:12" ht="43.2">
      <c r="B116" s="764" t="s">
        <v>99</v>
      </c>
      <c r="C116" s="764" t="s">
        <v>36</v>
      </c>
      <c r="D116" s="764" t="s">
        <v>142</v>
      </c>
      <c r="E116" s="764" t="s">
        <v>166</v>
      </c>
      <c r="F116" s="764" t="s">
        <v>102</v>
      </c>
      <c r="G116" s="764" t="s">
        <v>107</v>
      </c>
      <c r="H116" s="774" cm="1">
        <f t="array" ref="H116">_xlfn.XLOOKUP(E116&amp;G116,'1.4 Emisiones fugitivas'!$C$7:$C$61&amp;'1.4 Emisiones fugitivas'!$F$7:$F$61,'1.4 Emisiones fugitivas'!$G$7:$G$61,"-")</f>
        <v>11607</v>
      </c>
      <c r="I116" s="764" t="str" cm="1">
        <f t="array" ref="I116">_xlfn.XLOOKUP(E116&amp;G116,'1.4 Emisiones fugitivas'!$C$7:$C$61&amp;'1.4 Emisiones fugitivas'!$F$7:$F$61,'1.4 Emisiones fugitivas'!$H$7:$H$61,"-")</f>
        <v>kgCO2e/kilogramos</v>
      </c>
      <c r="J116" s="764" t="str" cm="1">
        <f t="array" ref="J116">_xlfn.XLOOKUP(E116&amp;G116,'1.4 Emisiones fugitivas'!$C$7:$C$61&amp;'1.4 Emisiones fugitivas'!$F$7:$F$61,'1.4 Emisiones fugitivas'!$I$7:$I$61,"-")</f>
        <v>IPCC 2006 (vol3; chapter 7) , Table 7.8 | IPCC 2012 (AR5; chapter 8), Table 8.A.1</v>
      </c>
      <c r="K116" s="764" t="s">
        <v>102</v>
      </c>
      <c r="L116" s="768" t="s">
        <v>102</v>
      </c>
    </row>
    <row r="117" spans="2:12" ht="43.2">
      <c r="B117" s="764" t="s">
        <v>99</v>
      </c>
      <c r="C117" s="764" t="s">
        <v>36</v>
      </c>
      <c r="D117" s="764" t="s">
        <v>142</v>
      </c>
      <c r="E117" s="764" t="s">
        <v>167</v>
      </c>
      <c r="F117" s="764" t="s">
        <v>102</v>
      </c>
      <c r="G117" s="764" t="s">
        <v>107</v>
      </c>
      <c r="H117" s="774" cm="1">
        <f t="array" ref="H117">_xlfn.XLOOKUP(E117&amp;G117,'1.4 Emisiones fugitivas'!$C$7:$C$61&amp;'1.4 Emisiones fugitivas'!$F$7:$F$61,'1.4 Emisiones fugitivas'!$G$7:$G$61,"-")</f>
        <v>11698</v>
      </c>
      <c r="I117" s="764" t="str" cm="1">
        <f t="array" ref="I117">_xlfn.XLOOKUP(E117&amp;G117,'1.4 Emisiones fugitivas'!$C$7:$C$61&amp;'1.4 Emisiones fugitivas'!$F$7:$F$61,'1.4 Emisiones fugitivas'!$H$7:$H$61,"-")</f>
        <v>kgCO2e/kilogramos</v>
      </c>
      <c r="J117" s="764" t="str" cm="1">
        <f t="array" ref="J117">_xlfn.XLOOKUP(E117&amp;G117,'1.4 Emisiones fugitivas'!$C$7:$C$61&amp;'1.4 Emisiones fugitivas'!$F$7:$F$61,'1.4 Emisiones fugitivas'!$I$7:$I$61,"-")</f>
        <v>IPCC 2006 (vol3; chapter 7) , Table 7.8 | IPCC 2012 (AR5; chapter 8), Table 8.A.1</v>
      </c>
      <c r="K117" s="764" t="s">
        <v>102</v>
      </c>
      <c r="L117" s="768" t="s">
        <v>102</v>
      </c>
    </row>
    <row r="118" spans="2:12" ht="43.2">
      <c r="B118" s="764" t="s">
        <v>99</v>
      </c>
      <c r="C118" s="764" t="s">
        <v>36</v>
      </c>
      <c r="D118" s="764" t="s">
        <v>142</v>
      </c>
      <c r="E118" s="764" t="s">
        <v>168</v>
      </c>
      <c r="F118" s="764" t="s">
        <v>102</v>
      </c>
      <c r="G118" s="764" t="s">
        <v>107</v>
      </c>
      <c r="H118" s="774" cm="1">
        <f t="array" ref="H118">_xlfn.XLOOKUP(E118&amp;G118,'1.4 Emisiones fugitivas'!$C$7:$C$61&amp;'1.4 Emisiones fugitivas'!$F$7:$F$61,'1.4 Emisiones fugitivas'!$G$7:$G$61,"-")</f>
        <v>1790</v>
      </c>
      <c r="I118" s="764" t="str" cm="1">
        <f t="array" ref="I118">_xlfn.XLOOKUP(E118&amp;G118,'1.4 Emisiones fugitivas'!$C$7:$C$61&amp;'1.4 Emisiones fugitivas'!$F$7:$F$61,'1.4 Emisiones fugitivas'!$H$7:$H$61,"-")</f>
        <v>kgCO2e/kilogramos</v>
      </c>
      <c r="J118" s="764" t="str" cm="1">
        <f t="array" ref="J118">_xlfn.XLOOKUP(E118&amp;G118,'1.4 Emisiones fugitivas'!$C$7:$C$61&amp;'1.4 Emisiones fugitivas'!$F$7:$F$61,'1.4 Emisiones fugitivas'!$I$7:$I$61,"-")</f>
        <v>IPCC 2006 (vol3; chapter 7) , Table 7.8 | IPCC 2012 (AR5; chapter 8), Table 8.A.1</v>
      </c>
      <c r="K118" s="764" t="s">
        <v>102</v>
      </c>
      <c r="L118" s="768" t="s">
        <v>102</v>
      </c>
    </row>
    <row r="119" spans="2:12" ht="43.2">
      <c r="B119" s="764" t="s">
        <v>99</v>
      </c>
      <c r="C119" s="764" t="s">
        <v>36</v>
      </c>
      <c r="D119" s="764" t="s">
        <v>142</v>
      </c>
      <c r="E119" s="764" t="s">
        <v>169</v>
      </c>
      <c r="F119" s="764" t="s">
        <v>102</v>
      </c>
      <c r="G119" s="764" t="s">
        <v>107</v>
      </c>
      <c r="H119" s="774" cm="1">
        <f t="array" ref="H119">_xlfn.XLOOKUP(E119&amp;G119,'1.4 Emisiones fugitivas'!$C$7:$C$61&amp;'1.4 Emisiones fugitivas'!$F$7:$F$61,'1.4 Emisiones fugitivas'!$G$7:$G$61,"-")</f>
        <v>1300</v>
      </c>
      <c r="I119" s="764" t="str" cm="1">
        <f t="array" ref="I119">_xlfn.XLOOKUP(E119&amp;G119,'1.4 Emisiones fugitivas'!$C$7:$C$61&amp;'1.4 Emisiones fugitivas'!$F$7:$F$61,'1.4 Emisiones fugitivas'!$H$7:$H$61,"-")</f>
        <v>kgCO2e/kilogramos</v>
      </c>
      <c r="J119" s="764" t="str" cm="1">
        <f t="array" ref="J119">_xlfn.XLOOKUP(E119&amp;G119,'1.4 Emisiones fugitivas'!$C$7:$C$61&amp;'1.4 Emisiones fugitivas'!$F$7:$F$61,'1.4 Emisiones fugitivas'!$I$7:$I$61,"-")</f>
        <v>IPCC 2006 (vol3; chapter 7) , Table 7.8 | IPCC 2012 (AR5; chapter 8), Table 8.A.1</v>
      </c>
      <c r="K119" s="764" t="s">
        <v>102</v>
      </c>
      <c r="L119" s="768" t="s">
        <v>102</v>
      </c>
    </row>
    <row r="120" spans="2:12" ht="43.2">
      <c r="B120" s="764" t="s">
        <v>99</v>
      </c>
      <c r="C120" s="764" t="s">
        <v>36</v>
      </c>
      <c r="D120" s="764" t="s">
        <v>142</v>
      </c>
      <c r="E120" s="764" t="s">
        <v>170</v>
      </c>
      <c r="F120" s="764" t="s">
        <v>102</v>
      </c>
      <c r="G120" s="764" t="s">
        <v>107</v>
      </c>
      <c r="H120" s="774" cm="1">
        <f t="array" ref="H120">_xlfn.XLOOKUP(E120&amp;G120,'1.4 Emisiones fugitivas'!$C$7:$C$61&amp;'1.4 Emisiones fugitivas'!$F$7:$F$61,'1.4 Emisiones fugitivas'!$G$7:$G$61,"-")</f>
        <v>328</v>
      </c>
      <c r="I120" s="764" t="str" cm="1">
        <f t="array" ref="I120">_xlfn.XLOOKUP(E120&amp;G120,'1.4 Emisiones fugitivas'!$C$7:$C$61&amp;'1.4 Emisiones fugitivas'!$F$7:$F$61,'1.4 Emisiones fugitivas'!$H$7:$H$61,"-")</f>
        <v>kgCO2e/kilogramos</v>
      </c>
      <c r="J120" s="764" t="str" cm="1">
        <f t="array" ref="J120">_xlfn.XLOOKUP(E120&amp;G120,'1.4 Emisiones fugitivas'!$C$7:$C$61&amp;'1.4 Emisiones fugitivas'!$F$7:$F$61,'1.4 Emisiones fugitivas'!$I$7:$I$61,"-")</f>
        <v>IPCC 2006 (vol3; chapter 7) , Table 7.8 | IPCC 2012 (AR5; chapter 8), Table 8.A.1</v>
      </c>
      <c r="K120" s="764" t="s">
        <v>102</v>
      </c>
      <c r="L120" s="768" t="s">
        <v>102</v>
      </c>
    </row>
    <row r="121" spans="2:12" ht="43.2">
      <c r="B121" s="764" t="s">
        <v>99</v>
      </c>
      <c r="C121" s="764" t="s">
        <v>36</v>
      </c>
      <c r="D121" s="764" t="s">
        <v>142</v>
      </c>
      <c r="E121" s="764" t="s">
        <v>171</v>
      </c>
      <c r="F121" s="764" t="s">
        <v>102</v>
      </c>
      <c r="G121" s="764" t="s">
        <v>107</v>
      </c>
      <c r="H121" s="774" cm="1">
        <f t="array" ref="H121">_xlfn.XLOOKUP(E121&amp;G121,'1.4 Emisiones fugitivas'!$C$7:$C$61&amp;'1.4 Emisiones fugitivas'!$F$7:$F$61,'1.4 Emisiones fugitivas'!$G$7:$G$61,"-")</f>
        <v>4800</v>
      </c>
      <c r="I121" s="764" t="str" cm="1">
        <f t="array" ref="I121">_xlfn.XLOOKUP(E121&amp;G121,'1.4 Emisiones fugitivas'!$C$7:$C$61&amp;'1.4 Emisiones fugitivas'!$F$7:$F$61,'1.4 Emisiones fugitivas'!$H$7:$H$61,"-")</f>
        <v>kgCO2e/kilogramos</v>
      </c>
      <c r="J121" s="764" t="str" cm="1">
        <f t="array" ref="J121">_xlfn.XLOOKUP(E121&amp;G121,'1.4 Emisiones fugitivas'!$C$7:$C$61&amp;'1.4 Emisiones fugitivas'!$F$7:$F$61,'1.4 Emisiones fugitivas'!$I$7:$I$61,"-")</f>
        <v>IPCC 2006 (vol3; chapter 7) , Table 7.8 | IPCC 2012 (AR5; chapter 8), Table 8.A.1</v>
      </c>
      <c r="K121" s="764" t="s">
        <v>102</v>
      </c>
      <c r="L121" s="768" t="s">
        <v>102</v>
      </c>
    </row>
    <row r="122" spans="2:12" ht="43.2">
      <c r="B122" s="764" t="s">
        <v>99</v>
      </c>
      <c r="C122" s="764" t="s">
        <v>36</v>
      </c>
      <c r="D122" s="764" t="s">
        <v>142</v>
      </c>
      <c r="E122" s="764" t="s">
        <v>172</v>
      </c>
      <c r="F122" s="764" t="s">
        <v>102</v>
      </c>
      <c r="G122" s="764" t="s">
        <v>107</v>
      </c>
      <c r="H122" s="774" cm="1">
        <f t="array" ref="H122">_xlfn.XLOOKUP(E122&amp;G122,'1.4 Emisiones fugitivas'!$C$7:$C$61&amp;'1.4 Emisiones fugitivas'!$F$7:$F$61,'1.4 Emisiones fugitivas'!$G$7:$G$61,"-")</f>
        <v>138</v>
      </c>
      <c r="I122" s="764" t="str" cm="1">
        <f t="array" ref="I122">_xlfn.XLOOKUP(E122&amp;G122,'1.4 Emisiones fugitivas'!$C$7:$C$61&amp;'1.4 Emisiones fugitivas'!$F$7:$F$61,'1.4 Emisiones fugitivas'!$H$7:$H$61,"-")</f>
        <v>kgCO2e/kilogramos</v>
      </c>
      <c r="J122" s="764" t="str" cm="1">
        <f t="array" ref="J122">_xlfn.XLOOKUP(E122&amp;G122,'1.4 Emisiones fugitivas'!$C$7:$C$61&amp;'1.4 Emisiones fugitivas'!$F$7:$F$61,'1.4 Emisiones fugitivas'!$I$7:$I$61,"-")</f>
        <v>IPCC 2006 (vol3; chapter 7) , Table 7.8 | IPCC 2012 (AR5; chapter 8), Table 8.A.1</v>
      </c>
      <c r="K122" s="764" t="s">
        <v>102</v>
      </c>
      <c r="L122" s="768" t="s">
        <v>102</v>
      </c>
    </row>
    <row r="123" spans="2:12" ht="43.2">
      <c r="B123" s="764" t="s">
        <v>99</v>
      </c>
      <c r="C123" s="764" t="s">
        <v>36</v>
      </c>
      <c r="D123" s="764" t="s">
        <v>142</v>
      </c>
      <c r="E123" s="764" t="s">
        <v>173</v>
      </c>
      <c r="F123" s="764" t="s">
        <v>102</v>
      </c>
      <c r="G123" s="764" t="s">
        <v>107</v>
      </c>
      <c r="H123" s="774" cm="1">
        <f t="array" ref="H123">_xlfn.XLOOKUP(E123&amp;G123,'1.4 Emisiones fugitivas'!$C$7:$C$61&amp;'1.4 Emisiones fugitivas'!$F$7:$F$61,'1.4 Emisiones fugitivas'!$G$7:$G$61,"-")</f>
        <v>3350</v>
      </c>
      <c r="I123" s="764" t="str" cm="1">
        <f t="array" ref="I123">_xlfn.XLOOKUP(E123&amp;G123,'1.4 Emisiones fugitivas'!$C$7:$C$61&amp;'1.4 Emisiones fugitivas'!$F$7:$F$61,'1.4 Emisiones fugitivas'!$H$7:$H$61,"-")</f>
        <v>kgCO2e/kilogramos</v>
      </c>
      <c r="J123" s="764" t="str" cm="1">
        <f t="array" ref="J123">_xlfn.XLOOKUP(E123&amp;G123,'1.4 Emisiones fugitivas'!$C$7:$C$61&amp;'1.4 Emisiones fugitivas'!$F$7:$F$61,'1.4 Emisiones fugitivas'!$I$7:$I$61,"-")</f>
        <v>IPCC 2006 (vol3; chapter 7) , Table 7.8 | IPCC 2012 (AR5; chapter 8), Table 8.A.1</v>
      </c>
      <c r="K123" s="764" t="s">
        <v>102</v>
      </c>
      <c r="L123" s="768" t="s">
        <v>102</v>
      </c>
    </row>
    <row r="124" spans="2:12" ht="43.2">
      <c r="B124" s="764" t="s">
        <v>99</v>
      </c>
      <c r="C124" s="764" t="s">
        <v>36</v>
      </c>
      <c r="D124" s="764" t="s">
        <v>142</v>
      </c>
      <c r="E124" s="764" t="s">
        <v>174</v>
      </c>
      <c r="F124" s="764" t="s">
        <v>102</v>
      </c>
      <c r="G124" s="764" t="s">
        <v>107</v>
      </c>
      <c r="H124" s="774" cm="1">
        <f t="array" ref="H124">_xlfn.XLOOKUP(E124&amp;G124,'1.4 Emisiones fugitivas'!$C$7:$C$61&amp;'1.4 Emisiones fugitivas'!$F$7:$F$61,'1.4 Emisiones fugitivas'!$G$7:$G$61,"-")</f>
        <v>12400</v>
      </c>
      <c r="I124" s="764" t="str" cm="1">
        <f t="array" ref="I124">_xlfn.XLOOKUP(E124&amp;G124,'1.4 Emisiones fugitivas'!$C$7:$C$61&amp;'1.4 Emisiones fugitivas'!$F$7:$F$61,'1.4 Emisiones fugitivas'!$H$7:$H$61,"-")</f>
        <v>kgCO2e/kilogramos</v>
      </c>
      <c r="J124" s="764" t="str" cm="1">
        <f t="array" ref="J124">_xlfn.XLOOKUP(E124&amp;G124,'1.4 Emisiones fugitivas'!$C$7:$C$61&amp;'1.4 Emisiones fugitivas'!$F$7:$F$61,'1.4 Emisiones fugitivas'!$I$7:$I$61,"-")</f>
        <v>IPCC 2006 (vol3; chapter 7) , Table 7.8 | IPCC 2012 (AR5; chapter 8), Table 8.A.1</v>
      </c>
      <c r="K124" s="764" t="s">
        <v>102</v>
      </c>
      <c r="L124" s="768" t="s">
        <v>102</v>
      </c>
    </row>
    <row r="125" spans="2:12" ht="43.2">
      <c r="B125" s="764" t="s">
        <v>99</v>
      </c>
      <c r="C125" s="764" t="s">
        <v>36</v>
      </c>
      <c r="D125" s="764" t="s">
        <v>142</v>
      </c>
      <c r="E125" s="764" t="s">
        <v>175</v>
      </c>
      <c r="F125" s="764" t="s">
        <v>102</v>
      </c>
      <c r="G125" s="764" t="s">
        <v>107</v>
      </c>
      <c r="H125" s="774" cm="1">
        <f t="array" ref="H125">_xlfn.XLOOKUP(E125&amp;G125,'1.4 Emisiones fugitivas'!$C$7:$C$61&amp;'1.4 Emisiones fugitivas'!$F$7:$F$61,'1.4 Emisiones fugitivas'!$G$7:$G$61,"-")</f>
        <v>8060</v>
      </c>
      <c r="I125" s="764" t="str" cm="1">
        <f t="array" ref="I125">_xlfn.XLOOKUP(E125&amp;G125,'1.4 Emisiones fugitivas'!$C$7:$C$61&amp;'1.4 Emisiones fugitivas'!$F$7:$F$61,'1.4 Emisiones fugitivas'!$H$7:$H$61,"-")</f>
        <v>kgCO2e/kilogramos</v>
      </c>
      <c r="J125" s="764" t="str" cm="1">
        <f t="array" ref="J125">_xlfn.XLOOKUP(E125&amp;G125,'1.4 Emisiones fugitivas'!$C$7:$C$61&amp;'1.4 Emisiones fugitivas'!$F$7:$F$61,'1.4 Emisiones fugitivas'!$I$7:$I$61,"-")</f>
        <v>IPCC 2006 (vol3; chapter 7) , Table 7.8 | IPCC 2012 (AR5; chapter 8), Table 8.A.1</v>
      </c>
      <c r="K125" s="764" t="s">
        <v>102</v>
      </c>
      <c r="L125" s="768" t="s">
        <v>102</v>
      </c>
    </row>
    <row r="126" spans="2:12" ht="43.2">
      <c r="B126" s="764" t="s">
        <v>99</v>
      </c>
      <c r="C126" s="764" t="s">
        <v>36</v>
      </c>
      <c r="D126" s="764" t="s">
        <v>142</v>
      </c>
      <c r="E126" s="764" t="s">
        <v>176</v>
      </c>
      <c r="F126" s="764" t="s">
        <v>102</v>
      </c>
      <c r="G126" s="764" t="s">
        <v>107</v>
      </c>
      <c r="H126" s="774" cm="1">
        <f t="array" ref="H126">_xlfn.XLOOKUP(E126&amp;G126,'1.4 Emisiones fugitivas'!$C$7:$C$61&amp;'1.4 Emisiones fugitivas'!$F$7:$F$61,'1.4 Emisiones fugitivas'!$G$7:$G$61,"-")</f>
        <v>1760</v>
      </c>
      <c r="I126" s="764" t="str" cm="1">
        <f t="array" ref="I126">_xlfn.XLOOKUP(E126&amp;G126,'1.4 Emisiones fugitivas'!$C$7:$C$61&amp;'1.4 Emisiones fugitivas'!$F$7:$F$61,'1.4 Emisiones fugitivas'!$H$7:$H$61,"-")</f>
        <v>kgCO2e/kilogramos</v>
      </c>
      <c r="J126" s="764" t="str" cm="1">
        <f t="array" ref="J126">_xlfn.XLOOKUP(E126&amp;G126,'1.4 Emisiones fugitivas'!$C$7:$C$61&amp;'1.4 Emisiones fugitivas'!$F$7:$F$61,'1.4 Emisiones fugitivas'!$I$7:$I$61,"-")</f>
        <v>IPCC 2006 (vol3; chapter 7) , Table 7.8 | IPCC 2012 (AR5; chapter 8), Table 8.A.1</v>
      </c>
      <c r="K126" s="764" t="s">
        <v>102</v>
      </c>
      <c r="L126" s="768" t="s">
        <v>102</v>
      </c>
    </row>
    <row r="127" spans="2:12" ht="43.2">
      <c r="B127" s="764" t="s">
        <v>99</v>
      </c>
      <c r="C127" s="764" t="s">
        <v>36</v>
      </c>
      <c r="D127" s="764" t="s">
        <v>142</v>
      </c>
      <c r="E127" s="764" t="s">
        <v>177</v>
      </c>
      <c r="F127" s="764" t="s">
        <v>102</v>
      </c>
      <c r="G127" s="764" t="s">
        <v>107</v>
      </c>
      <c r="H127" s="774" cm="1">
        <f t="array" ref="H127">_xlfn.XLOOKUP(E127&amp;G127,'1.4 Emisiones fugitivas'!$C$7:$C$61&amp;'1.4 Emisiones fugitivas'!$F$7:$F$61,'1.4 Emisiones fugitivas'!$G$7:$G$61,"-")</f>
        <v>4660</v>
      </c>
      <c r="I127" s="764" t="str" cm="1">
        <f t="array" ref="I127">_xlfn.XLOOKUP(E127&amp;G127,'1.4 Emisiones fugitivas'!$C$7:$C$61&amp;'1.4 Emisiones fugitivas'!$F$7:$F$61,'1.4 Emisiones fugitivas'!$H$7:$H$61,"-")</f>
        <v>kgCO2e/kilogramos</v>
      </c>
      <c r="J127" s="764" t="str" cm="1">
        <f t="array" ref="J127">_xlfn.XLOOKUP(E127&amp;G127,'1.4 Emisiones fugitivas'!$C$7:$C$61&amp;'1.4 Emisiones fugitivas'!$F$7:$F$61,'1.4 Emisiones fugitivas'!$I$7:$I$61,"-")</f>
        <v>IPCC 2006 (vol3; chapter 7) , Table 7.8 | IPCC 2012 (AR5; chapter 8), Table 8.A.1</v>
      </c>
      <c r="K127" s="764" t="s">
        <v>102</v>
      </c>
      <c r="L127" s="768" t="s">
        <v>102</v>
      </c>
    </row>
    <row r="128" spans="2:12" ht="43.2">
      <c r="B128" s="764" t="s">
        <v>99</v>
      </c>
      <c r="C128" s="764" t="s">
        <v>36</v>
      </c>
      <c r="D128" s="764" t="s">
        <v>142</v>
      </c>
      <c r="E128" s="764" t="s">
        <v>178</v>
      </c>
      <c r="F128" s="764" t="s">
        <v>102</v>
      </c>
      <c r="G128" s="764" t="s">
        <v>107</v>
      </c>
      <c r="H128" s="774" cm="1">
        <f t="array" ref="H128">_xlfn.XLOOKUP(E128&amp;G128,'1.4 Emisiones fugitivas'!$C$7:$C$61&amp;'1.4 Emisiones fugitivas'!$F$7:$F$61,'1.4 Emisiones fugitivas'!$G$7:$G$61,"-")</f>
        <v>10200</v>
      </c>
      <c r="I128" s="764" t="str" cm="1">
        <f t="array" ref="I128">_xlfn.XLOOKUP(E128&amp;G128,'1.4 Emisiones fugitivas'!$C$7:$C$61&amp;'1.4 Emisiones fugitivas'!$F$7:$F$61,'1.4 Emisiones fugitivas'!$H$7:$H$61,"-")</f>
        <v>kgCO2e/kilogramos</v>
      </c>
      <c r="J128" s="764" t="str" cm="1">
        <f t="array" ref="J128">_xlfn.XLOOKUP(E128&amp;G128,'1.4 Emisiones fugitivas'!$C$7:$C$61&amp;'1.4 Emisiones fugitivas'!$F$7:$F$61,'1.4 Emisiones fugitivas'!$I$7:$I$61,"-")</f>
        <v>IPCC 2006 (vol3; chapter 7) , Table 7.8 | IPCC 2012 (AR5; chapter 8), Table 8.A.1</v>
      </c>
      <c r="K128" s="764" t="s">
        <v>102</v>
      </c>
      <c r="L128" s="768" t="s">
        <v>102</v>
      </c>
    </row>
    <row r="129" spans="2:12" ht="43.2">
      <c r="B129" s="764" t="s">
        <v>99</v>
      </c>
      <c r="C129" s="764" t="s">
        <v>36</v>
      </c>
      <c r="D129" s="764" t="s">
        <v>142</v>
      </c>
      <c r="E129" s="764" t="s">
        <v>179</v>
      </c>
      <c r="F129" s="764" t="s">
        <v>102</v>
      </c>
      <c r="G129" s="764" t="s">
        <v>107</v>
      </c>
      <c r="H129" s="774" cm="1">
        <f t="array" ref="H129">_xlfn.XLOOKUP(E129&amp;G129,'1.4 Emisiones fugitivas'!$C$7:$C$61&amp;'1.4 Emisiones fugitivas'!$F$7:$F$61,'1.4 Emisiones fugitivas'!$G$7:$G$61,"-")</f>
        <v>13900</v>
      </c>
      <c r="I129" s="764" t="str" cm="1">
        <f t="array" ref="I129">_xlfn.XLOOKUP(E129&amp;G129,'1.4 Emisiones fugitivas'!$C$7:$C$61&amp;'1.4 Emisiones fugitivas'!$F$7:$F$61,'1.4 Emisiones fugitivas'!$H$7:$H$61,"-")</f>
        <v>kgCO2e/kilogramos</v>
      </c>
      <c r="J129" s="764" t="str" cm="1">
        <f t="array" ref="J129">_xlfn.XLOOKUP(E129&amp;G129,'1.4 Emisiones fugitivas'!$C$7:$C$61&amp;'1.4 Emisiones fugitivas'!$F$7:$F$61,'1.4 Emisiones fugitivas'!$I$7:$I$61,"-")</f>
        <v>IPCC 2006 (vol3; chapter 7) , Table 7.8 | IPCC 2012 (AR5; chapter 8), Table 8.A.1</v>
      </c>
      <c r="K129" s="764" t="s">
        <v>102</v>
      </c>
      <c r="L129" s="768" t="s">
        <v>102</v>
      </c>
    </row>
    <row r="130" spans="2:12" ht="43.2">
      <c r="B130" s="764" t="s">
        <v>99</v>
      </c>
      <c r="C130" s="764" t="s">
        <v>36</v>
      </c>
      <c r="D130" s="764" t="s">
        <v>142</v>
      </c>
      <c r="E130" s="764" t="s">
        <v>180</v>
      </c>
      <c r="F130" s="764" t="s">
        <v>102</v>
      </c>
      <c r="G130" s="764" t="s">
        <v>107</v>
      </c>
      <c r="H130" s="774" cm="1">
        <f t="array" ref="H130">_xlfn.XLOOKUP(E130&amp;G130,'1.4 Emisiones fugitivas'!$C$7:$C$61&amp;'1.4 Emisiones fugitivas'!$F$7:$F$61,'1.4 Emisiones fugitivas'!$G$7:$G$61,"-")</f>
        <v>5820</v>
      </c>
      <c r="I130" s="764" t="str" cm="1">
        <f t="array" ref="I130">_xlfn.XLOOKUP(E130&amp;G130,'1.4 Emisiones fugitivas'!$C$7:$C$61&amp;'1.4 Emisiones fugitivas'!$F$7:$F$61,'1.4 Emisiones fugitivas'!$H$7:$H$61,"-")</f>
        <v>kgCO2e/kilogramos</v>
      </c>
      <c r="J130" s="764" t="str" cm="1">
        <f t="array" ref="J130">_xlfn.XLOOKUP(E130&amp;G130,'1.4 Emisiones fugitivas'!$C$7:$C$61&amp;'1.4 Emisiones fugitivas'!$F$7:$F$61,'1.4 Emisiones fugitivas'!$I$7:$I$61,"-")</f>
        <v>IPCC 2006 (vol3; chapter 7) , Table 7.8 | IPCC 2012 (AR5; chapter 8), Table 8.A.1</v>
      </c>
      <c r="K130" s="764" t="s">
        <v>102</v>
      </c>
      <c r="L130" s="768" t="s">
        <v>102</v>
      </c>
    </row>
    <row r="131" spans="2:12" ht="43.2">
      <c r="B131" s="764" t="s">
        <v>99</v>
      </c>
      <c r="C131" s="764" t="s">
        <v>36</v>
      </c>
      <c r="D131" s="764" t="s">
        <v>142</v>
      </c>
      <c r="E131" s="764" t="s">
        <v>181</v>
      </c>
      <c r="F131" s="764" t="s">
        <v>102</v>
      </c>
      <c r="G131" s="764" t="s">
        <v>107</v>
      </c>
      <c r="H131" s="774" cm="1">
        <f t="array" ref="H131">_xlfn.XLOOKUP(E131&amp;G131,'1.4 Emisiones fugitivas'!$C$7:$C$61&amp;'1.4 Emisiones fugitivas'!$F$7:$F$61,'1.4 Emisiones fugitivas'!$G$7:$G$61,"-")</f>
        <v>8590</v>
      </c>
      <c r="I131" s="764" t="str" cm="1">
        <f t="array" ref="I131">_xlfn.XLOOKUP(E131&amp;G131,'1.4 Emisiones fugitivas'!$C$7:$C$61&amp;'1.4 Emisiones fugitivas'!$F$7:$F$61,'1.4 Emisiones fugitivas'!$H$7:$H$61,"-")</f>
        <v>kgCO2e/kilogramos</v>
      </c>
      <c r="J131" s="764" t="str" cm="1">
        <f t="array" ref="J131">_xlfn.XLOOKUP(E131&amp;G131,'1.4 Emisiones fugitivas'!$C$7:$C$61&amp;'1.4 Emisiones fugitivas'!$F$7:$F$61,'1.4 Emisiones fugitivas'!$I$7:$I$61,"-")</f>
        <v>IPCC 2006 (vol3; chapter 7) , Table 7.8 | IPCC 2012 (AR5; chapter 8), Table 8.A.1</v>
      </c>
      <c r="K131" s="764" t="s">
        <v>102</v>
      </c>
      <c r="L131" s="768" t="s">
        <v>102</v>
      </c>
    </row>
    <row r="132" spans="2:12" ht="43.2">
      <c r="B132" s="764" t="s">
        <v>99</v>
      </c>
      <c r="C132" s="764" t="s">
        <v>36</v>
      </c>
      <c r="D132" s="764" t="s">
        <v>142</v>
      </c>
      <c r="E132" s="764" t="s">
        <v>182</v>
      </c>
      <c r="F132" s="764" t="s">
        <v>102</v>
      </c>
      <c r="G132" s="764" t="s">
        <v>107</v>
      </c>
      <c r="H132" s="774" cm="1">
        <f t="array" ref="H132">_xlfn.XLOOKUP(E132&amp;G132,'1.4 Emisiones fugitivas'!$C$7:$C$61&amp;'1.4 Emisiones fugitivas'!$F$7:$F$61,'1.4 Emisiones fugitivas'!$G$7:$G$61,"-")</f>
        <v>7670</v>
      </c>
      <c r="I132" s="764" t="str" cm="1">
        <f t="array" ref="I132">_xlfn.XLOOKUP(E132&amp;G132,'1.4 Emisiones fugitivas'!$C$7:$C$61&amp;'1.4 Emisiones fugitivas'!$F$7:$F$61,'1.4 Emisiones fugitivas'!$H$7:$H$61,"-")</f>
        <v>kgCO2e/kilogramos</v>
      </c>
      <c r="J132" s="764" t="str" cm="1">
        <f t="array" ref="J132">_xlfn.XLOOKUP(E132&amp;G132,'1.4 Emisiones fugitivas'!$C$7:$C$61&amp;'1.4 Emisiones fugitivas'!$F$7:$F$61,'1.4 Emisiones fugitivas'!$I$7:$I$61,"-")</f>
        <v>IPCC 2006 (vol3; chapter 7) , Table 7.8 | IPCC 2012 (AR5; chapter 8), Table 8.A.1</v>
      </c>
      <c r="K132" s="764" t="s">
        <v>102</v>
      </c>
      <c r="L132" s="768" t="s">
        <v>102</v>
      </c>
    </row>
    <row r="133" spans="2:12" ht="43.2">
      <c r="B133" s="764" t="s">
        <v>99</v>
      </c>
      <c r="C133" s="764" t="s">
        <v>36</v>
      </c>
      <c r="D133" s="764" t="s">
        <v>142</v>
      </c>
      <c r="E133" s="764" t="s">
        <v>183</v>
      </c>
      <c r="F133" s="764" t="s">
        <v>102</v>
      </c>
      <c r="G133" s="764" t="s">
        <v>107</v>
      </c>
      <c r="H133" s="774" cm="1">
        <f t="array" ref="H133">_xlfn.XLOOKUP(E133&amp;G133,'1.4 Emisiones fugitivas'!$C$7:$C$61&amp;'1.4 Emisiones fugitivas'!$F$7:$F$61,'1.4 Emisiones fugitivas'!$G$7:$G$61,"-")</f>
        <v>1750</v>
      </c>
      <c r="I133" s="764" t="str" cm="1">
        <f t="array" ref="I133">_xlfn.XLOOKUP(E133&amp;G133,'1.4 Emisiones fugitivas'!$C$7:$C$61&amp;'1.4 Emisiones fugitivas'!$F$7:$F$61,'1.4 Emisiones fugitivas'!$H$7:$H$61,"-")</f>
        <v>kgCO2e/kilogramos</v>
      </c>
      <c r="J133" s="764" t="str" cm="1">
        <f t="array" ref="J133">_xlfn.XLOOKUP(E133&amp;G133,'1.4 Emisiones fugitivas'!$C$7:$C$61&amp;'1.4 Emisiones fugitivas'!$F$7:$F$61,'1.4 Emisiones fugitivas'!$I$7:$I$61,"-")</f>
        <v>IPCC 2006 (vol3; chapter 7) , Table 7.8 | IPCC 2012 (AR5; chapter 8), Table 8.A.1</v>
      </c>
      <c r="K133" s="764" t="s">
        <v>102</v>
      </c>
      <c r="L133" s="768" t="s">
        <v>102</v>
      </c>
    </row>
    <row r="134" spans="2:12" ht="43.2">
      <c r="B134" s="764" t="s">
        <v>99</v>
      </c>
      <c r="C134" s="764" t="s">
        <v>36</v>
      </c>
      <c r="D134" s="764" t="s">
        <v>142</v>
      </c>
      <c r="E134" s="764" t="s">
        <v>184</v>
      </c>
      <c r="F134" s="764" t="s">
        <v>102</v>
      </c>
      <c r="G134" s="764" t="s">
        <v>107</v>
      </c>
      <c r="H134" s="774" cm="1">
        <f t="array" ref="H134">_xlfn.XLOOKUP(E134&amp;G134,'1.4 Emisiones fugitivas'!$C$7:$C$61&amp;'1.4 Emisiones fugitivas'!$F$7:$F$61,'1.4 Emisiones fugitivas'!$G$7:$G$61,"-")</f>
        <v>6290</v>
      </c>
      <c r="I134" s="764" t="str" cm="1">
        <f t="array" ref="I134">_xlfn.XLOOKUP(E134&amp;G134,'1.4 Emisiones fugitivas'!$C$7:$C$61&amp;'1.4 Emisiones fugitivas'!$F$7:$F$61,'1.4 Emisiones fugitivas'!$H$7:$H$61,"-")</f>
        <v>kgCO2e/kilogramos</v>
      </c>
      <c r="J134" s="764" t="str" cm="1">
        <f t="array" ref="J134">_xlfn.XLOOKUP(E134&amp;G134,'1.4 Emisiones fugitivas'!$C$7:$C$61&amp;'1.4 Emisiones fugitivas'!$F$7:$F$61,'1.4 Emisiones fugitivas'!$I$7:$I$61,"-")</f>
        <v>IPCC 2006 (vol3; chapter 7) , Table 7.8 | IPCC 2012 (AR5; chapter 8), Table 8.A.1</v>
      </c>
      <c r="K134" s="764" t="s">
        <v>102</v>
      </c>
      <c r="L134" s="768" t="s">
        <v>102</v>
      </c>
    </row>
    <row r="135" spans="2:12" ht="43.2">
      <c r="B135" s="764" t="s">
        <v>99</v>
      </c>
      <c r="C135" s="764" t="s">
        <v>36</v>
      </c>
      <c r="D135" s="764" t="s">
        <v>142</v>
      </c>
      <c r="E135" s="764" t="s">
        <v>185</v>
      </c>
      <c r="F135" s="764" t="s">
        <v>102</v>
      </c>
      <c r="G135" s="764" t="s">
        <v>107</v>
      </c>
      <c r="H135" s="774" cm="1">
        <f t="array" ref="H135">_xlfn.XLOOKUP(E135&amp;G135,'1.4 Emisiones fugitivas'!$C$7:$C$61&amp;'1.4 Emisiones fugitivas'!$F$7:$F$61,'1.4 Emisiones fugitivas'!$G$7:$G$61,"-")</f>
        <v>1470</v>
      </c>
      <c r="I135" s="764" t="str" cm="1">
        <f t="array" ref="I135">_xlfn.XLOOKUP(E135&amp;G135,'1.4 Emisiones fugitivas'!$C$7:$C$61&amp;'1.4 Emisiones fugitivas'!$F$7:$F$61,'1.4 Emisiones fugitivas'!$H$7:$H$61,"-")</f>
        <v>kgCO2e/kilogramos</v>
      </c>
      <c r="J135" s="764" t="str" cm="1">
        <f t="array" ref="J135">_xlfn.XLOOKUP(E135&amp;G135,'1.4 Emisiones fugitivas'!$C$7:$C$61&amp;'1.4 Emisiones fugitivas'!$F$7:$F$61,'1.4 Emisiones fugitivas'!$I$7:$I$61,"-")</f>
        <v>IPCC 2006 (vol3; chapter 7) , Table 7.8 | IPCC 2012 (AR5; chapter 8), Table 8.A.1</v>
      </c>
      <c r="K135" s="764" t="s">
        <v>102</v>
      </c>
      <c r="L135" s="768" t="s">
        <v>102</v>
      </c>
    </row>
    <row r="136" spans="2:12" ht="43.2">
      <c r="B136" s="764" t="s">
        <v>99</v>
      </c>
      <c r="C136" s="764" t="s">
        <v>36</v>
      </c>
      <c r="D136" s="764" t="s">
        <v>142</v>
      </c>
      <c r="E136" s="764" t="s">
        <v>186</v>
      </c>
      <c r="F136" s="764" t="s">
        <v>102</v>
      </c>
      <c r="G136" s="764" t="s">
        <v>107</v>
      </c>
      <c r="H136" s="774" cm="1">
        <f t="array" ref="H136">_xlfn.XLOOKUP(E136&amp;G136,'1.4 Emisiones fugitivas'!$C$7:$C$61&amp;'1.4 Emisiones fugitivas'!$F$7:$F$61,'1.4 Emisiones fugitivas'!$G$7:$G$61,"-")</f>
        <v>2</v>
      </c>
      <c r="I136" s="764" t="str" cm="1">
        <f t="array" ref="I136">_xlfn.XLOOKUP(E136&amp;G136,'1.4 Emisiones fugitivas'!$C$7:$C$61&amp;'1.4 Emisiones fugitivas'!$F$7:$F$61,'1.4 Emisiones fugitivas'!$H$7:$H$61,"-")</f>
        <v>kgCO2e/kilogramos</v>
      </c>
      <c r="J136" s="764" t="str" cm="1">
        <f t="array" ref="J136">_xlfn.XLOOKUP(E136&amp;G136,'1.4 Emisiones fugitivas'!$C$7:$C$61&amp;'1.4 Emisiones fugitivas'!$F$7:$F$61,'1.4 Emisiones fugitivas'!$I$7:$I$61,"-")</f>
        <v>IPCC 2006 (vol3; chapter 7) , Table 7.8 | IPCC 2012 (AR5; chapter 8), Table 8.A.1</v>
      </c>
      <c r="K136" s="764" t="s">
        <v>102</v>
      </c>
      <c r="L136" s="768" t="s">
        <v>102</v>
      </c>
    </row>
    <row r="137" spans="2:12" ht="43.2">
      <c r="B137" s="764" t="s">
        <v>99</v>
      </c>
      <c r="C137" s="764" t="s">
        <v>36</v>
      </c>
      <c r="D137" s="764" t="s">
        <v>142</v>
      </c>
      <c r="E137" s="764" t="s">
        <v>187</v>
      </c>
      <c r="F137" s="764" t="s">
        <v>102</v>
      </c>
      <c r="G137" s="764" t="s">
        <v>107</v>
      </c>
      <c r="H137" s="774" cm="1">
        <f t="array" ref="H137">_xlfn.XLOOKUP(E137&amp;G137,'1.4 Emisiones fugitivas'!$C$7:$C$61&amp;'1.4 Emisiones fugitivas'!$F$7:$F$61,'1.4 Emisiones fugitivas'!$G$7:$G$61,"-")</f>
        <v>79</v>
      </c>
      <c r="I137" s="764" t="str" cm="1">
        <f t="array" ref="I137">_xlfn.XLOOKUP(E137&amp;G137,'1.4 Emisiones fugitivas'!$C$7:$C$61&amp;'1.4 Emisiones fugitivas'!$F$7:$F$61,'1.4 Emisiones fugitivas'!$H$7:$H$61,"-")</f>
        <v>kgCO2e/kilogramos</v>
      </c>
      <c r="J137" s="764" t="str" cm="1">
        <f t="array" ref="J137">_xlfn.XLOOKUP(E137&amp;G137,'1.4 Emisiones fugitivas'!$C$7:$C$61&amp;'1.4 Emisiones fugitivas'!$F$7:$F$61,'1.4 Emisiones fugitivas'!$I$7:$I$61,"-")</f>
        <v>IPCC 2006 (vol3; chapter 7) , Table 7.8 | IPCC 2012 (AR5; chapter 8), Table 8.A.1</v>
      </c>
      <c r="K137" s="764" t="s">
        <v>102</v>
      </c>
      <c r="L137" s="768" t="s">
        <v>102</v>
      </c>
    </row>
    <row r="138" spans="2:12" ht="43.2">
      <c r="B138" s="764" t="s">
        <v>99</v>
      </c>
      <c r="C138" s="764" t="s">
        <v>36</v>
      </c>
      <c r="D138" s="764" t="s">
        <v>142</v>
      </c>
      <c r="E138" s="764" t="s">
        <v>188</v>
      </c>
      <c r="F138" s="764" t="s">
        <v>102</v>
      </c>
      <c r="G138" s="764" t="s">
        <v>107</v>
      </c>
      <c r="H138" s="774" cm="1">
        <f t="array" ref="H138">_xlfn.XLOOKUP(E138&amp;G138,'1.4 Emisiones fugitivas'!$C$7:$C$61&amp;'1.4 Emisiones fugitivas'!$F$7:$F$61,'1.4 Emisiones fugitivas'!$G$7:$G$61,"-")</f>
        <v>527</v>
      </c>
      <c r="I138" s="764" t="str" cm="1">
        <f t="array" ref="I138">_xlfn.XLOOKUP(E138&amp;G138,'1.4 Emisiones fugitivas'!$C$7:$C$61&amp;'1.4 Emisiones fugitivas'!$F$7:$F$61,'1.4 Emisiones fugitivas'!$H$7:$H$61,"-")</f>
        <v>kgCO2e/kilogramos</v>
      </c>
      <c r="J138" s="764" t="str" cm="1">
        <f t="array" ref="J138">_xlfn.XLOOKUP(E138&amp;G138,'1.4 Emisiones fugitivas'!$C$7:$C$61&amp;'1.4 Emisiones fugitivas'!$F$7:$F$61,'1.4 Emisiones fugitivas'!$I$7:$I$61,"-")</f>
        <v>IPCC 2006 (vol3; chapter 7) , Table 7.8 | IPCC 2012 (AR5; chapter 8), Table 8.A.1</v>
      </c>
      <c r="K138" s="764" t="s">
        <v>102</v>
      </c>
      <c r="L138" s="768" t="s">
        <v>102</v>
      </c>
    </row>
    <row r="139" spans="2:12" ht="43.2">
      <c r="B139" s="764" t="s">
        <v>99</v>
      </c>
      <c r="C139" s="764" t="s">
        <v>36</v>
      </c>
      <c r="D139" s="764" t="s">
        <v>142</v>
      </c>
      <c r="E139" s="764" t="s">
        <v>189</v>
      </c>
      <c r="F139" s="764" t="s">
        <v>102</v>
      </c>
      <c r="G139" s="764" t="s">
        <v>107</v>
      </c>
      <c r="H139" s="774" cm="1">
        <f t="array" ref="H139">_xlfn.XLOOKUP(E139&amp;G139,'1.4 Emisiones fugitivas'!$C$7:$C$61&amp;'1.4 Emisiones fugitivas'!$F$7:$F$61,'1.4 Emisiones fugitivas'!$G$7:$G$61,"-")</f>
        <v>782</v>
      </c>
      <c r="I139" s="764" t="str" cm="1">
        <f t="array" ref="I139">_xlfn.XLOOKUP(E139&amp;G139,'1.4 Emisiones fugitivas'!$C$7:$C$61&amp;'1.4 Emisiones fugitivas'!$F$7:$F$61,'1.4 Emisiones fugitivas'!$H$7:$H$61,"-")</f>
        <v>kgCO2e/kilogramos</v>
      </c>
      <c r="J139" s="764" t="str" cm="1">
        <f t="array" ref="J139">_xlfn.XLOOKUP(E139&amp;G139,'1.4 Emisiones fugitivas'!$C$7:$C$61&amp;'1.4 Emisiones fugitivas'!$F$7:$F$61,'1.4 Emisiones fugitivas'!$I$7:$I$61,"-")</f>
        <v>IPCC 2006 (vol3; chapter 7) , Table 7.8 | IPCC 2012 (AR5; chapter 8), Table 8.A.1</v>
      </c>
      <c r="K139" s="764" t="s">
        <v>102</v>
      </c>
      <c r="L139" s="768" t="s">
        <v>102</v>
      </c>
    </row>
    <row r="140" spans="2:12" ht="43.2">
      <c r="B140" s="764" t="s">
        <v>99</v>
      </c>
      <c r="C140" s="764" t="s">
        <v>36</v>
      </c>
      <c r="D140" s="764" t="s">
        <v>142</v>
      </c>
      <c r="E140" s="764" t="s">
        <v>190</v>
      </c>
      <c r="F140" s="764" t="s">
        <v>102</v>
      </c>
      <c r="G140" s="764" t="s">
        <v>107</v>
      </c>
      <c r="H140" s="774" cm="1">
        <f t="array" ref="H140">_xlfn.XLOOKUP(E140&amp;G140,'1.4 Emisiones fugitivas'!$C$7:$C$61&amp;'1.4 Emisiones fugitivas'!$F$7:$F$61,'1.4 Emisiones fugitivas'!$G$7:$G$61,"-")</f>
        <v>1980</v>
      </c>
      <c r="I140" s="764" t="str" cm="1">
        <f t="array" ref="I140">_xlfn.XLOOKUP(E140&amp;G140,'1.4 Emisiones fugitivas'!$C$7:$C$61&amp;'1.4 Emisiones fugitivas'!$F$7:$F$61,'1.4 Emisiones fugitivas'!$H$7:$H$61,"-")</f>
        <v>kgCO2e/kilogramos</v>
      </c>
      <c r="J140" s="764" t="str" cm="1">
        <f t="array" ref="J140">_xlfn.XLOOKUP(E140&amp;G140,'1.4 Emisiones fugitivas'!$C$7:$C$61&amp;'1.4 Emisiones fugitivas'!$F$7:$F$61,'1.4 Emisiones fugitivas'!$I$7:$I$61,"-")</f>
        <v>IPCC 2006 (vol3; chapter 7) , Table 7.8 | IPCC 2012 (AR5; chapter 8), Table 8.A.1</v>
      </c>
      <c r="K140" s="764" t="s">
        <v>102</v>
      </c>
      <c r="L140" s="768" t="s">
        <v>102</v>
      </c>
    </row>
    <row r="141" spans="2:12" ht="43.2">
      <c r="B141" s="764" t="s">
        <v>99</v>
      </c>
      <c r="C141" s="764" t="s">
        <v>36</v>
      </c>
      <c r="D141" s="764" t="s">
        <v>142</v>
      </c>
      <c r="E141" s="764" t="s">
        <v>191</v>
      </c>
      <c r="F141" s="764" t="s">
        <v>102</v>
      </c>
      <c r="G141" s="764" t="s">
        <v>107</v>
      </c>
      <c r="H141" s="774" cm="1">
        <f t="array" ref="H141">_xlfn.XLOOKUP(E141&amp;G141,'1.4 Emisiones fugitivas'!$C$7:$C$61&amp;'1.4 Emisiones fugitivas'!$F$7:$F$61,'1.4 Emisiones fugitivas'!$G$7:$G$61,"-")</f>
        <v>127</v>
      </c>
      <c r="I141" s="764" t="str" cm="1">
        <f t="array" ref="I141">_xlfn.XLOOKUP(E141&amp;G141,'1.4 Emisiones fugitivas'!$C$7:$C$61&amp;'1.4 Emisiones fugitivas'!$F$7:$F$61,'1.4 Emisiones fugitivas'!$H$7:$H$61,"-")</f>
        <v>kgCO2e/kilogramos</v>
      </c>
      <c r="J141" s="764" t="str" cm="1">
        <f t="array" ref="J141">_xlfn.XLOOKUP(E141&amp;G141,'1.4 Emisiones fugitivas'!$C$7:$C$61&amp;'1.4 Emisiones fugitivas'!$F$7:$F$61,'1.4 Emisiones fugitivas'!$I$7:$I$61,"-")</f>
        <v>IPCC 2006 (vol3; chapter 7) , Table 7.8 | IPCC 2012 (AR5; chapter 8), Table 8.A.1</v>
      </c>
      <c r="K141" s="764" t="s">
        <v>102</v>
      </c>
      <c r="L141" s="768" t="s">
        <v>102</v>
      </c>
    </row>
    <row r="142" spans="2:12" ht="43.2">
      <c r="B142" s="764" t="s">
        <v>99</v>
      </c>
      <c r="C142" s="764" t="s">
        <v>36</v>
      </c>
      <c r="D142" s="764" t="s">
        <v>142</v>
      </c>
      <c r="E142" s="764" t="s">
        <v>192</v>
      </c>
      <c r="F142" s="764" t="s">
        <v>102</v>
      </c>
      <c r="G142" s="764" t="s">
        <v>107</v>
      </c>
      <c r="H142" s="774" cm="1">
        <f t="array" ref="H142">_xlfn.XLOOKUP(E142&amp;G142,'1.4 Emisiones fugitivas'!$C$7:$C$61&amp;'1.4 Emisiones fugitivas'!$F$7:$F$61,'1.4 Emisiones fugitivas'!$G$7:$G$61,"-")</f>
        <v>525</v>
      </c>
      <c r="I142" s="764" t="str" cm="1">
        <f t="array" ref="I142">_xlfn.XLOOKUP(E142&amp;G142,'1.4 Emisiones fugitivas'!$C$7:$C$61&amp;'1.4 Emisiones fugitivas'!$F$7:$F$61,'1.4 Emisiones fugitivas'!$H$7:$H$61,"-")</f>
        <v>kgCO2e/kilogramos</v>
      </c>
      <c r="J142" s="764" t="str" cm="1">
        <f t="array" ref="J142">_xlfn.XLOOKUP(E142&amp;G142,'1.4 Emisiones fugitivas'!$C$7:$C$61&amp;'1.4 Emisiones fugitivas'!$F$7:$F$61,'1.4 Emisiones fugitivas'!$I$7:$I$61,"-")</f>
        <v>IPCC 2006 (vol3; chapter 7) , Table 7.8 | IPCC 2012 (AR5; chapter 8), Table 8.A.1</v>
      </c>
      <c r="K142" s="764" t="s">
        <v>102</v>
      </c>
      <c r="L142" s="768" t="s">
        <v>102</v>
      </c>
    </row>
    <row r="143" spans="2:12" ht="43.2">
      <c r="B143" s="764" t="s">
        <v>99</v>
      </c>
      <c r="C143" s="764" t="s">
        <v>36</v>
      </c>
      <c r="D143" s="764" t="s">
        <v>142</v>
      </c>
      <c r="E143" s="764" t="s">
        <v>193</v>
      </c>
      <c r="F143" s="764" t="s">
        <v>102</v>
      </c>
      <c r="G143" s="764" t="s">
        <v>107</v>
      </c>
      <c r="H143" s="774" cm="1">
        <f t="array" ref="H143">_xlfn.XLOOKUP(E143&amp;G143,'1.4 Emisiones fugitivas'!$C$7:$C$61&amp;'1.4 Emisiones fugitivas'!$F$7:$F$61,'1.4 Emisiones fugitivas'!$G$7:$G$61,"-")</f>
        <v>148</v>
      </c>
      <c r="I143" s="764" t="str" cm="1">
        <f t="array" ref="I143">_xlfn.XLOOKUP(E143&amp;G143,'1.4 Emisiones fugitivas'!$C$7:$C$61&amp;'1.4 Emisiones fugitivas'!$F$7:$F$61,'1.4 Emisiones fugitivas'!$H$7:$H$61,"-")</f>
        <v>kgCO2e/kilogramos</v>
      </c>
      <c r="J143" s="764" t="str" cm="1">
        <f t="array" ref="J143">_xlfn.XLOOKUP(E143&amp;G143,'1.4 Emisiones fugitivas'!$C$7:$C$61&amp;'1.4 Emisiones fugitivas'!$F$7:$F$61,'1.4 Emisiones fugitivas'!$I$7:$I$61,"-")</f>
        <v>IPCC 2006 (vol3; chapter 7) , Table 7.8 | IPCC 2012 (AR5; chapter 8), Table 8.A.1</v>
      </c>
      <c r="K143" s="764" t="s">
        <v>102</v>
      </c>
      <c r="L143" s="768" t="s">
        <v>102</v>
      </c>
    </row>
    <row r="144" spans="2:12" ht="43.2">
      <c r="B144" s="764" t="s">
        <v>99</v>
      </c>
      <c r="C144" s="764" t="s">
        <v>36</v>
      </c>
      <c r="D144" s="764" t="s">
        <v>142</v>
      </c>
      <c r="E144" s="764" t="s">
        <v>194</v>
      </c>
      <c r="F144" s="764" t="s">
        <v>102</v>
      </c>
      <c r="G144" s="764" t="s">
        <v>107</v>
      </c>
      <c r="H144" s="774" cm="1">
        <f t="array" ref="H144">_xlfn.XLOOKUP(E144&amp;G144,'1.4 Emisiones fugitivas'!$C$7:$C$61&amp;'1.4 Emisiones fugitivas'!$F$7:$F$61,'1.4 Emisiones fugitivas'!$G$7:$G$61,"-")</f>
        <v>1</v>
      </c>
      <c r="I144" s="764" t="str" cm="1">
        <f t="array" ref="I144">_xlfn.XLOOKUP(E144&amp;G144,'1.4 Emisiones fugitivas'!$C$7:$C$61&amp;'1.4 Emisiones fugitivas'!$F$7:$F$61,'1.4 Emisiones fugitivas'!$H$7:$H$61,"-")</f>
        <v>kgCO2e/kilogramos</v>
      </c>
      <c r="J144" s="764" t="str" cm="1">
        <f t="array" ref="J144">_xlfn.XLOOKUP(E144&amp;G144,'1.4 Emisiones fugitivas'!$C$7:$C$61&amp;'1.4 Emisiones fugitivas'!$F$7:$F$61,'1.4 Emisiones fugitivas'!$I$7:$I$61,"-")</f>
        <v>IPCC 2006 (vol3; chapter 7) , Table 7.8 | IPCC 2012 (AR5; chapter 8), Table 8.A.1 /Referencia HuellaChile</v>
      </c>
      <c r="K144" s="764" t="s">
        <v>102</v>
      </c>
      <c r="L144" s="768" t="s">
        <v>102</v>
      </c>
    </row>
    <row r="145" spans="2:12" ht="43.2">
      <c r="B145" s="764" t="s">
        <v>99</v>
      </c>
      <c r="C145" s="764" t="s">
        <v>36</v>
      </c>
      <c r="D145" s="764" t="s">
        <v>142</v>
      </c>
      <c r="E145" s="764" t="s">
        <v>195</v>
      </c>
      <c r="F145" s="764" t="s">
        <v>102</v>
      </c>
      <c r="G145" s="764" t="s">
        <v>107</v>
      </c>
      <c r="H145" s="774" cm="1">
        <f t="array" ref="H145">_xlfn.XLOOKUP(E145&amp;G145,'1.4 Emisiones fugitivas'!$C$7:$C$61&amp;'1.4 Emisiones fugitivas'!$F$7:$F$61,'1.4 Emisiones fugitivas'!$G$7:$G$61,"-")</f>
        <v>491</v>
      </c>
      <c r="I145" s="764" t="str" cm="1">
        <f t="array" ref="I145">_xlfn.XLOOKUP(E145&amp;G145,'1.4 Emisiones fugitivas'!$C$7:$C$61&amp;'1.4 Emisiones fugitivas'!$F$7:$F$61,'1.4 Emisiones fugitivas'!$H$7:$H$61,"-")</f>
        <v>kgCO2e/kilogramos</v>
      </c>
      <c r="J145" s="764" t="str" cm="1">
        <f t="array" ref="J145">_xlfn.XLOOKUP(E145&amp;G145,'1.4 Emisiones fugitivas'!$C$7:$C$61&amp;'1.4 Emisiones fugitivas'!$F$7:$F$61,'1.4 Emisiones fugitivas'!$I$7:$I$61,"-")</f>
        <v>IPCC 2006 (vol3; chapter 7) , Table 7.8 | IPCC 2012 (AR5; chapter 8), Table 8.A.1</v>
      </c>
      <c r="K145" s="764" t="s">
        <v>102</v>
      </c>
      <c r="L145" s="768" t="s">
        <v>102</v>
      </c>
    </row>
    <row r="146" spans="2:12" ht="43.2">
      <c r="B146" s="764" t="s">
        <v>99</v>
      </c>
      <c r="C146" s="764" t="s">
        <v>36</v>
      </c>
      <c r="D146" s="764" t="s">
        <v>142</v>
      </c>
      <c r="E146" s="764" t="s">
        <v>196</v>
      </c>
      <c r="F146" s="764" t="s">
        <v>102</v>
      </c>
      <c r="G146" s="764" t="s">
        <v>107</v>
      </c>
      <c r="H146" s="774" cm="1">
        <f t="array" ref="H146">_xlfn.XLOOKUP(E146&amp;G146,'1.4 Emisiones fugitivas'!$C$7:$C$61&amp;'1.4 Emisiones fugitivas'!$F$7:$F$61,'1.4 Emisiones fugitivas'!$G$7:$G$61,"-")</f>
        <v>216</v>
      </c>
      <c r="I146" s="764" t="str" cm="1">
        <f t="array" ref="I146">_xlfn.XLOOKUP(E146&amp;G146,'1.4 Emisiones fugitivas'!$C$7:$C$61&amp;'1.4 Emisiones fugitivas'!$F$7:$F$61,'1.4 Emisiones fugitivas'!$H$7:$H$61,"-")</f>
        <v>kgCO2e/kilogramos</v>
      </c>
      <c r="J146" s="764" t="str" cm="1">
        <f t="array" ref="J146">_xlfn.XLOOKUP(E146&amp;G146,'1.4 Emisiones fugitivas'!$C$7:$C$61&amp;'1.4 Emisiones fugitivas'!$F$7:$F$61,'1.4 Emisiones fugitivas'!$I$7:$I$61,"-")</f>
        <v>IPCC 2006 (vol3; chapter 7) , Table 7.8 | IPCC 2012 (AR5; chapter 8), Table 8.A.1</v>
      </c>
      <c r="K146" s="764" t="s">
        <v>102</v>
      </c>
      <c r="L146" s="768" t="s">
        <v>102</v>
      </c>
    </row>
    <row r="147" spans="2:12" ht="43.2">
      <c r="B147" s="764" t="s">
        <v>99</v>
      </c>
      <c r="C147" s="764" t="s">
        <v>36</v>
      </c>
      <c r="D147" s="764" t="s">
        <v>142</v>
      </c>
      <c r="E147" s="764" t="s">
        <v>197</v>
      </c>
      <c r="F147" s="764" t="s">
        <v>102</v>
      </c>
      <c r="G147" s="764" t="s">
        <v>107</v>
      </c>
      <c r="H147" s="774" cm="1">
        <f t="array" ref="H147">_xlfn.XLOOKUP(E147&amp;G147,'1.4 Emisiones fugitivas'!$C$7:$C$61&amp;'1.4 Emisiones fugitivas'!$F$7:$F$61,'1.4 Emisiones fugitivas'!$G$7:$G$61,"-")</f>
        <v>265</v>
      </c>
      <c r="I147" s="764" t="str" cm="1">
        <f t="array" ref="I147">_xlfn.XLOOKUP(E147&amp;G147,'1.4 Emisiones fugitivas'!$C$7:$C$61&amp;'1.4 Emisiones fugitivas'!$F$7:$F$61,'1.4 Emisiones fugitivas'!$H$7:$H$61,"-")</f>
        <v>kgCO2e/kilogramos</v>
      </c>
      <c r="J147" s="764" t="str" cm="1">
        <f t="array" ref="J147">_xlfn.XLOOKUP(E147&amp;G147,'1.4 Emisiones fugitivas'!$C$7:$C$61&amp;'1.4 Emisiones fugitivas'!$F$7:$F$61,'1.4 Emisiones fugitivas'!$I$7:$I$61,"-")</f>
        <v>IPCC 2006 (vol3; chapter 7) , Table 7.8 | IPCC 2012 (AR5; chapter 8), Table 8.A.1</v>
      </c>
      <c r="K147" s="764" t="s">
        <v>102</v>
      </c>
      <c r="L147" s="768" t="s">
        <v>102</v>
      </c>
    </row>
    <row r="148" spans="2:12" ht="43.2">
      <c r="B148" s="764" t="s">
        <v>198</v>
      </c>
      <c r="C148" s="764" t="s">
        <v>42</v>
      </c>
      <c r="D148" s="764" t="s">
        <v>198</v>
      </c>
      <c r="E148" s="764" t="s">
        <v>199</v>
      </c>
      <c r="F148" s="775">
        <v>2015</v>
      </c>
      <c r="G148" s="764" t="s">
        <v>200</v>
      </c>
      <c r="H148" s="765" cm="1">
        <f t="array" ref="H148">_xlfn.XLOOKUP(E148&amp;F148&amp;G148,'2.1 Electricidad'!$B$10:$B$138&amp;'2.1 Electricidad'!$C$10:$C$138&amp;'2.1 Electricidad'!$D$10:$D$138,'2.1 Electricidad'!$E$10:$E$138,"-")</f>
        <v>764.4</v>
      </c>
      <c r="I148" s="764" t="str" cm="1">
        <f t="array" ref="I148">_xlfn.XLOOKUP(E148&amp;F148&amp;G148,'2.1 Electricidad'!$B$10:$B$138&amp;'2.1 Electricidad'!$C$10:$C$138&amp;'2.1 Electricidad'!$D$10:$D$138,'2.1 Electricidad'!$F$10:$F$138,"-")</f>
        <v>kgCO2e/MWh</v>
      </c>
      <c r="J148" s="764" t="str" cm="1">
        <f t="array" ref="J148">_xlfn.XLOOKUP(E148&amp;F148&amp;G148,'2.1 Electricidad'!$B$10:$B$138&amp;'2.1 Electricidad'!$C$10:$C$138&amp;'2.1 Electricidad'!$D$10:$D$138,'2.1 Electricidad'!$G$10:$G$138,"-")</f>
        <v>Energía Abierta (http://energiaabierta.cl/visualizaciones/factor-de-emision-sic-sing/)</v>
      </c>
      <c r="K148" s="764" t="s">
        <v>102</v>
      </c>
      <c r="L148" s="768" t="s">
        <v>102</v>
      </c>
    </row>
    <row r="149" spans="2:12" ht="43.2">
      <c r="B149" s="764" t="s">
        <v>198</v>
      </c>
      <c r="C149" s="764" t="s">
        <v>42</v>
      </c>
      <c r="D149" s="764" t="s">
        <v>198</v>
      </c>
      <c r="E149" s="764" t="s">
        <v>199</v>
      </c>
      <c r="F149" s="775">
        <v>2015</v>
      </c>
      <c r="G149" s="764" t="s">
        <v>201</v>
      </c>
      <c r="H149" s="774" cm="1">
        <f t="array" ref="H149">_xlfn.XLOOKUP(E149&amp;F149&amp;G149,'2.1 Electricidad'!$B$10:$B$138&amp;'2.1 Electricidad'!$C$10:$C$138&amp;'2.1 Electricidad'!$D$10:$D$138,'2.1 Electricidad'!$E$10:$E$138,"-")</f>
        <v>764400</v>
      </c>
      <c r="I149" s="764" t="str" cm="1">
        <f t="array" ref="I149">_xlfn.XLOOKUP(E149&amp;F149&amp;G149,'2.1 Electricidad'!$B$10:$B$138&amp;'2.1 Electricidad'!$C$10:$C$138&amp;'2.1 Electricidad'!$D$10:$D$138,'2.1 Electricidad'!$F$10:$F$138,"-")</f>
        <v>kgCO2e/GWh</v>
      </c>
      <c r="J149" s="764" t="str" cm="1">
        <f t="array" ref="J149">_xlfn.XLOOKUP(E149&amp;F149&amp;G149,'2.1 Electricidad'!$B$10:$B$138&amp;'2.1 Electricidad'!$C$10:$C$138&amp;'2.1 Electricidad'!$D$10:$D$138,'2.1 Electricidad'!$G$10:$G$138,"-")</f>
        <v>Energía Abierta (http://energiaabierta.cl/visualizaciones/factor-de-emision-sic-sing/)</v>
      </c>
      <c r="K149" s="764" t="s">
        <v>102</v>
      </c>
      <c r="L149" s="768" t="s">
        <v>102</v>
      </c>
    </row>
    <row r="150" spans="2:12" ht="43.2">
      <c r="B150" s="764" t="s">
        <v>198</v>
      </c>
      <c r="C150" s="764" t="s">
        <v>42</v>
      </c>
      <c r="D150" s="764" t="s">
        <v>198</v>
      </c>
      <c r="E150" s="764" t="s">
        <v>199</v>
      </c>
      <c r="F150" s="775">
        <v>2015</v>
      </c>
      <c r="G150" s="764" t="s">
        <v>202</v>
      </c>
      <c r="H150" s="765" cm="1">
        <f t="array" ref="H150">_xlfn.XLOOKUP(E150&amp;F150&amp;G150,'2.1 Electricidad'!$B$10:$B$138&amp;'2.1 Electricidad'!$C$10:$C$138&amp;'2.1 Electricidad'!$D$10:$D$138,'2.1 Electricidad'!$E$10:$E$138,"-")</f>
        <v>0.76439999999999997</v>
      </c>
      <c r="I150" s="764" t="str" cm="1">
        <f t="array" ref="I150">_xlfn.XLOOKUP(E150&amp;F150&amp;G150,'2.1 Electricidad'!$B$10:$B$138&amp;'2.1 Electricidad'!$C$10:$C$138&amp;'2.1 Electricidad'!$D$10:$D$138,'2.1 Electricidad'!$F$10:$F$138,"-")</f>
        <v>kgCO2e/kWh</v>
      </c>
      <c r="J150" s="764" t="str" cm="1">
        <f t="array" ref="J150">_xlfn.XLOOKUP(E150&amp;F150&amp;G150,'2.1 Electricidad'!$B$10:$B$138&amp;'2.1 Electricidad'!$C$10:$C$138&amp;'2.1 Electricidad'!$D$10:$D$138,'2.1 Electricidad'!$G$10:$G$138,"-")</f>
        <v>Energía Abierta (http://energiaabierta.cl/visualizaciones/factor-de-emision-sic-sing/)</v>
      </c>
      <c r="K150" s="764" t="s">
        <v>102</v>
      </c>
      <c r="L150" s="768" t="s">
        <v>102</v>
      </c>
    </row>
    <row r="151" spans="2:12" ht="43.2">
      <c r="B151" s="764" t="s">
        <v>198</v>
      </c>
      <c r="C151" s="764" t="s">
        <v>42</v>
      </c>
      <c r="D151" s="764" t="s">
        <v>198</v>
      </c>
      <c r="E151" s="764" t="s">
        <v>199</v>
      </c>
      <c r="F151" s="775">
        <v>2016</v>
      </c>
      <c r="G151" s="764" t="s">
        <v>200</v>
      </c>
      <c r="H151" s="765" cm="1">
        <f t="array" ref="H151">_xlfn.XLOOKUP(E151&amp;F151&amp;G151,'2.1 Electricidad'!$B$10:$B$138&amp;'2.1 Electricidad'!$C$10:$C$138&amp;'2.1 Electricidad'!$D$10:$D$138,'2.1 Electricidad'!$E$10:$E$138,"-")</f>
        <v>766.7</v>
      </c>
      <c r="I151" s="764" t="str" cm="1">
        <f t="array" ref="I151">_xlfn.XLOOKUP(E151&amp;F151&amp;G151,'2.1 Electricidad'!$B$10:$B$138&amp;'2.1 Electricidad'!$C$10:$C$138&amp;'2.1 Electricidad'!$D$10:$D$138,'2.1 Electricidad'!$F$10:$F$138,"-")</f>
        <v>kgCO2e/MWh</v>
      </c>
      <c r="J151" s="764" t="str" cm="1">
        <f t="array" ref="J151">_xlfn.XLOOKUP(E151&amp;F151&amp;G151,'2.1 Electricidad'!$B$10:$B$138&amp;'2.1 Electricidad'!$C$10:$C$138&amp;'2.1 Electricidad'!$D$10:$D$138,'2.1 Electricidad'!$G$10:$G$138,"-")</f>
        <v>Energía Abierta (http://energiaabierta.cl/visualizaciones/factor-de-emision-sic-sing/)</v>
      </c>
      <c r="K151" s="764" t="s">
        <v>102</v>
      </c>
      <c r="L151" s="768" t="s">
        <v>102</v>
      </c>
    </row>
    <row r="152" spans="2:12" ht="43.2">
      <c r="B152" s="764" t="s">
        <v>198</v>
      </c>
      <c r="C152" s="764" t="s">
        <v>42</v>
      </c>
      <c r="D152" s="764" t="s">
        <v>198</v>
      </c>
      <c r="E152" s="764" t="s">
        <v>199</v>
      </c>
      <c r="F152" s="775">
        <v>2016</v>
      </c>
      <c r="G152" s="764" t="s">
        <v>201</v>
      </c>
      <c r="H152" s="774" cm="1">
        <f t="array" ref="H152">_xlfn.XLOOKUP(E152&amp;F152&amp;G152,'2.1 Electricidad'!$B$10:$B$138&amp;'2.1 Electricidad'!$C$10:$C$138&amp;'2.1 Electricidad'!$D$10:$D$138,'2.1 Electricidad'!$E$10:$E$138,"-")</f>
        <v>766700</v>
      </c>
      <c r="I152" s="764" t="str" cm="1">
        <f t="array" ref="I152">_xlfn.XLOOKUP(E152&amp;F152&amp;G152,'2.1 Electricidad'!$B$10:$B$138&amp;'2.1 Electricidad'!$C$10:$C$138&amp;'2.1 Electricidad'!$D$10:$D$138,'2.1 Electricidad'!$F$10:$F$138,"-")</f>
        <v>kgCO2e/GWh</v>
      </c>
      <c r="J152" s="764" t="str" cm="1">
        <f t="array" ref="J152">_xlfn.XLOOKUP(E152&amp;F152&amp;G152,'2.1 Electricidad'!$B$10:$B$138&amp;'2.1 Electricidad'!$C$10:$C$138&amp;'2.1 Electricidad'!$D$10:$D$138,'2.1 Electricidad'!$G$10:$G$138,"-")</f>
        <v>Energía Abierta (http://energiaabierta.cl/visualizaciones/factor-de-emision-sic-sing/)</v>
      </c>
      <c r="K152" s="764" t="s">
        <v>102</v>
      </c>
      <c r="L152" s="768" t="s">
        <v>102</v>
      </c>
    </row>
    <row r="153" spans="2:12" ht="43.2">
      <c r="B153" s="764" t="s">
        <v>198</v>
      </c>
      <c r="C153" s="764" t="s">
        <v>42</v>
      </c>
      <c r="D153" s="764" t="s">
        <v>198</v>
      </c>
      <c r="E153" s="764" t="s">
        <v>199</v>
      </c>
      <c r="F153" s="775">
        <v>2016</v>
      </c>
      <c r="G153" s="764" t="s">
        <v>202</v>
      </c>
      <c r="H153" s="765" cm="1">
        <f t="array" ref="H153">_xlfn.XLOOKUP(E153&amp;F153&amp;G153,'2.1 Electricidad'!$B$10:$B$138&amp;'2.1 Electricidad'!$C$10:$C$138&amp;'2.1 Electricidad'!$D$10:$D$138,'2.1 Electricidad'!$E$10:$E$138,"-")</f>
        <v>0.76670000000000005</v>
      </c>
      <c r="I153" s="764" t="str" cm="1">
        <f t="array" ref="I153">_xlfn.XLOOKUP(E153&amp;F153&amp;G153,'2.1 Electricidad'!$B$10:$B$138&amp;'2.1 Electricidad'!$C$10:$C$138&amp;'2.1 Electricidad'!$D$10:$D$138,'2.1 Electricidad'!$F$10:$F$138,"-")</f>
        <v>kgCO2e/kWh</v>
      </c>
      <c r="J153" s="764" t="str" cm="1">
        <f t="array" ref="J153">_xlfn.XLOOKUP(E153&amp;F153&amp;G153,'2.1 Electricidad'!$B$10:$B$138&amp;'2.1 Electricidad'!$C$10:$C$138&amp;'2.1 Electricidad'!$D$10:$D$138,'2.1 Electricidad'!$G$10:$G$138,"-")</f>
        <v>Energía Abierta (http://energiaabierta.cl/visualizaciones/factor-de-emision-sic-sing/)</v>
      </c>
      <c r="K153" s="764" t="s">
        <v>102</v>
      </c>
      <c r="L153" s="768" t="s">
        <v>102</v>
      </c>
    </row>
    <row r="154" spans="2:12" ht="43.2">
      <c r="B154" s="764" t="s">
        <v>198</v>
      </c>
      <c r="C154" s="764" t="s">
        <v>42</v>
      </c>
      <c r="D154" s="764" t="s">
        <v>198</v>
      </c>
      <c r="E154" s="764" t="s">
        <v>199</v>
      </c>
      <c r="F154" s="775">
        <v>2017</v>
      </c>
      <c r="G154" s="764" t="s">
        <v>200</v>
      </c>
      <c r="H154" s="765" cm="1">
        <f t="array" ref="H154">_xlfn.XLOOKUP(E154&amp;F154&amp;G154,'2.1 Electricidad'!$B$10:$B$138&amp;'2.1 Electricidad'!$C$10:$C$138&amp;'2.1 Electricidad'!$D$10:$D$138,'2.1 Electricidad'!$E$10:$E$138,"-")</f>
        <v>773</v>
      </c>
      <c r="I154" s="764" t="str" cm="1">
        <f t="array" ref="I154">_xlfn.XLOOKUP(E154&amp;F154&amp;G154,'2.1 Electricidad'!$B$10:$B$138&amp;'2.1 Electricidad'!$C$10:$C$138&amp;'2.1 Electricidad'!$D$10:$D$138,'2.1 Electricidad'!$F$10:$F$138,"-")</f>
        <v>kgCO2e/MWh</v>
      </c>
      <c r="J154" s="764" t="str" cm="1">
        <f t="array" ref="J154">_xlfn.XLOOKUP(E154&amp;F154&amp;G154,'2.1 Electricidad'!$B$10:$B$138&amp;'2.1 Electricidad'!$C$10:$C$138&amp;'2.1 Electricidad'!$D$10:$D$138,'2.1 Electricidad'!$G$10:$G$138,"-")</f>
        <v>Energía Abierta (http://energiaabierta.cl/visualizaciones/factor-de-emision-sic-sing/)</v>
      </c>
      <c r="K154" s="764" t="s">
        <v>102</v>
      </c>
      <c r="L154" s="768" t="s">
        <v>102</v>
      </c>
    </row>
    <row r="155" spans="2:12" ht="43.2">
      <c r="B155" s="764" t="s">
        <v>198</v>
      </c>
      <c r="C155" s="764" t="s">
        <v>42</v>
      </c>
      <c r="D155" s="764" t="s">
        <v>198</v>
      </c>
      <c r="E155" s="764" t="s">
        <v>199</v>
      </c>
      <c r="F155" s="775">
        <v>2017</v>
      </c>
      <c r="G155" s="764" t="s">
        <v>201</v>
      </c>
      <c r="H155" s="774" cm="1">
        <f t="array" ref="H155">_xlfn.XLOOKUP(E155&amp;F155&amp;G155,'2.1 Electricidad'!$B$10:$B$138&amp;'2.1 Electricidad'!$C$10:$C$138&amp;'2.1 Electricidad'!$D$10:$D$138,'2.1 Electricidad'!$E$10:$E$138,"-")</f>
        <v>773000</v>
      </c>
      <c r="I155" s="764" t="str" cm="1">
        <f t="array" ref="I155">_xlfn.XLOOKUP(E155&amp;F155&amp;G155,'2.1 Electricidad'!$B$10:$B$138&amp;'2.1 Electricidad'!$C$10:$C$138&amp;'2.1 Electricidad'!$D$10:$D$138,'2.1 Electricidad'!$F$10:$F$138,"-")</f>
        <v>kgCO2e/GWh</v>
      </c>
      <c r="J155" s="764" t="str" cm="1">
        <f t="array" ref="J155">_xlfn.XLOOKUP(E155&amp;F155&amp;G155,'2.1 Electricidad'!$B$10:$B$138&amp;'2.1 Electricidad'!$C$10:$C$138&amp;'2.1 Electricidad'!$D$10:$D$138,'2.1 Electricidad'!$G$10:$G$138,"-")</f>
        <v>Energía Abierta (http://energiaabierta.cl/visualizaciones/factor-de-emision-sic-sing/)</v>
      </c>
      <c r="K155" s="764" t="s">
        <v>102</v>
      </c>
      <c r="L155" s="768" t="s">
        <v>102</v>
      </c>
    </row>
    <row r="156" spans="2:12" ht="43.2">
      <c r="B156" s="764" t="s">
        <v>198</v>
      </c>
      <c r="C156" s="764" t="s">
        <v>42</v>
      </c>
      <c r="D156" s="764" t="s">
        <v>198</v>
      </c>
      <c r="E156" s="764" t="s">
        <v>199</v>
      </c>
      <c r="F156" s="775">
        <v>2017</v>
      </c>
      <c r="G156" s="764" t="s">
        <v>202</v>
      </c>
      <c r="H156" s="765" cm="1">
        <f t="array" ref="H156">_xlfn.XLOOKUP(E156&amp;F156&amp;G156,'2.1 Electricidad'!$B$10:$B$138&amp;'2.1 Electricidad'!$C$10:$C$138&amp;'2.1 Electricidad'!$D$10:$D$138,'2.1 Electricidad'!$E$10:$E$138,"-")</f>
        <v>0.77300000000000002</v>
      </c>
      <c r="I156" s="764" t="str" cm="1">
        <f t="array" ref="I156">_xlfn.XLOOKUP(E156&amp;F156&amp;G156,'2.1 Electricidad'!$B$10:$B$138&amp;'2.1 Electricidad'!$C$10:$C$138&amp;'2.1 Electricidad'!$D$10:$D$138,'2.1 Electricidad'!$F$10:$F$138,"-")</f>
        <v>kgCO2e/kWh</v>
      </c>
      <c r="J156" s="764" t="str" cm="1">
        <f t="array" ref="J156">_xlfn.XLOOKUP(E156&amp;F156&amp;G156,'2.1 Electricidad'!$B$10:$B$138&amp;'2.1 Electricidad'!$C$10:$C$138&amp;'2.1 Electricidad'!$D$10:$D$138,'2.1 Electricidad'!$G$10:$G$138,"-")</f>
        <v>Energía Abierta (http://energiaabierta.cl/visualizaciones/factor-de-emision-sic-sing/)</v>
      </c>
      <c r="K156" s="764" t="s">
        <v>102</v>
      </c>
      <c r="L156" s="768" t="s">
        <v>102</v>
      </c>
    </row>
    <row r="157" spans="2:12" ht="43.2">
      <c r="B157" s="764" t="s">
        <v>198</v>
      </c>
      <c r="C157" s="764" t="s">
        <v>42</v>
      </c>
      <c r="D157" s="764" t="s">
        <v>198</v>
      </c>
      <c r="E157" s="764" t="s">
        <v>203</v>
      </c>
      <c r="F157" s="775">
        <v>2015</v>
      </c>
      <c r="G157" s="764" t="s">
        <v>200</v>
      </c>
      <c r="H157" s="765" cm="1">
        <f t="array" ref="H157">_xlfn.XLOOKUP(E157&amp;F157&amp;G157,'2.1 Electricidad'!$B$10:$B$138&amp;'2.1 Electricidad'!$C$10:$C$138&amp;'2.1 Electricidad'!$D$10:$D$138,'2.1 Electricidad'!$E$10:$E$138,"-")</f>
        <v>345.9</v>
      </c>
      <c r="I157" s="764" t="str" cm="1">
        <f t="array" ref="I157">_xlfn.XLOOKUP(E157&amp;F157&amp;G157,'2.1 Electricidad'!$B$10:$B$138&amp;'2.1 Electricidad'!$C$10:$C$138&amp;'2.1 Electricidad'!$D$10:$D$138,'2.1 Electricidad'!$F$10:$F$138,"-")</f>
        <v>kgCO2e/MWh</v>
      </c>
      <c r="J157" s="764" t="str" cm="1">
        <f t="array" ref="J157">_xlfn.XLOOKUP(E157&amp;F157&amp;G157,'2.1 Electricidad'!$B$10:$B$138&amp;'2.1 Electricidad'!$C$10:$C$138&amp;'2.1 Electricidad'!$D$10:$D$138,'2.1 Electricidad'!$G$10:$G$138,"-")</f>
        <v>Energía Abierta (http://energiaabierta.cl/visualizaciones/factor-de-emision-sic-sing/)</v>
      </c>
      <c r="K157" s="764" t="s">
        <v>102</v>
      </c>
      <c r="L157" s="768" t="s">
        <v>102</v>
      </c>
    </row>
    <row r="158" spans="2:12" ht="43.2">
      <c r="B158" s="764" t="s">
        <v>198</v>
      </c>
      <c r="C158" s="764" t="s">
        <v>42</v>
      </c>
      <c r="D158" s="764" t="s">
        <v>198</v>
      </c>
      <c r="E158" s="764" t="s">
        <v>203</v>
      </c>
      <c r="F158" s="775">
        <v>2015</v>
      </c>
      <c r="G158" s="764" t="s">
        <v>201</v>
      </c>
      <c r="H158" s="774" cm="1">
        <f t="array" ref="H158">_xlfn.XLOOKUP(E158&amp;F158&amp;G158,'2.1 Electricidad'!$B$10:$B$138&amp;'2.1 Electricidad'!$C$10:$C$138&amp;'2.1 Electricidad'!$D$10:$D$138,'2.1 Electricidad'!$E$10:$E$138,"-")</f>
        <v>345900</v>
      </c>
      <c r="I158" s="764" t="str" cm="1">
        <f t="array" ref="I158">_xlfn.XLOOKUP(E158&amp;F158&amp;G158,'2.1 Electricidad'!$B$10:$B$138&amp;'2.1 Electricidad'!$C$10:$C$138&amp;'2.1 Electricidad'!$D$10:$D$138,'2.1 Electricidad'!$F$10:$F$138,"-")</f>
        <v>kgCO2e/GWh</v>
      </c>
      <c r="J158" s="764" t="str" cm="1">
        <f t="array" ref="J158">_xlfn.XLOOKUP(E158&amp;F158&amp;G158,'2.1 Electricidad'!$B$10:$B$138&amp;'2.1 Electricidad'!$C$10:$C$138&amp;'2.1 Electricidad'!$D$10:$D$138,'2.1 Electricidad'!$G$10:$G$138,"-")</f>
        <v>Energía Abierta (http://energiaabierta.cl/visualizaciones/factor-de-emision-sic-sing/)</v>
      </c>
      <c r="K158" s="764" t="s">
        <v>102</v>
      </c>
      <c r="L158" s="768" t="s">
        <v>102</v>
      </c>
    </row>
    <row r="159" spans="2:12" ht="43.2">
      <c r="B159" s="764" t="s">
        <v>198</v>
      </c>
      <c r="C159" s="764" t="s">
        <v>42</v>
      </c>
      <c r="D159" s="764" t="s">
        <v>198</v>
      </c>
      <c r="E159" s="764" t="s">
        <v>203</v>
      </c>
      <c r="F159" s="775">
        <v>2015</v>
      </c>
      <c r="G159" s="764" t="s">
        <v>202</v>
      </c>
      <c r="H159" s="765" cm="1">
        <f t="array" ref="H159">_xlfn.XLOOKUP(E159&amp;F159&amp;G159,'2.1 Electricidad'!$B$10:$B$138&amp;'2.1 Electricidad'!$C$10:$C$138&amp;'2.1 Electricidad'!$D$10:$D$138,'2.1 Electricidad'!$E$10:$E$138,"-")</f>
        <v>0.34589999999999999</v>
      </c>
      <c r="I159" s="764" t="str" cm="1">
        <f t="array" ref="I159">_xlfn.XLOOKUP(E159&amp;F159&amp;G159,'2.1 Electricidad'!$B$10:$B$138&amp;'2.1 Electricidad'!$C$10:$C$138&amp;'2.1 Electricidad'!$D$10:$D$138,'2.1 Electricidad'!$F$10:$F$138,"-")</f>
        <v>kgCO2e/kWh</v>
      </c>
      <c r="J159" s="764" t="str" cm="1">
        <f t="array" ref="J159">_xlfn.XLOOKUP(E159&amp;F159&amp;G159,'2.1 Electricidad'!$B$10:$B$138&amp;'2.1 Electricidad'!$C$10:$C$138&amp;'2.1 Electricidad'!$D$10:$D$138,'2.1 Electricidad'!$G$10:$G$138,"-")</f>
        <v>Energía Abierta (http://energiaabierta.cl/visualizaciones/factor-de-emision-sic-sing/)</v>
      </c>
      <c r="K159" s="764" t="s">
        <v>102</v>
      </c>
      <c r="L159" s="768" t="s">
        <v>102</v>
      </c>
    </row>
    <row r="160" spans="2:12" ht="43.2">
      <c r="B160" s="764" t="s">
        <v>198</v>
      </c>
      <c r="C160" s="764" t="s">
        <v>42</v>
      </c>
      <c r="D160" s="764" t="s">
        <v>198</v>
      </c>
      <c r="E160" s="764" t="s">
        <v>203</v>
      </c>
      <c r="F160" s="775">
        <v>2016</v>
      </c>
      <c r="G160" s="764" t="s">
        <v>200</v>
      </c>
      <c r="H160" s="765" cm="1">
        <f t="array" ref="H160">_xlfn.XLOOKUP(E160&amp;F160&amp;G160,'2.1 Electricidad'!$B$10:$B$138&amp;'2.1 Electricidad'!$C$10:$C$138&amp;'2.1 Electricidad'!$D$10:$D$138,'2.1 Electricidad'!$E$10:$E$138,"-")</f>
        <v>397</v>
      </c>
      <c r="I160" s="764" t="str" cm="1">
        <f t="array" ref="I160">_xlfn.XLOOKUP(E160&amp;F160&amp;G160,'2.1 Electricidad'!$B$10:$B$138&amp;'2.1 Electricidad'!$C$10:$C$138&amp;'2.1 Electricidad'!$D$10:$D$138,'2.1 Electricidad'!$F$10:$F$138,"-")</f>
        <v>kgCO2e/MWh</v>
      </c>
      <c r="J160" s="764" t="str" cm="1">
        <f t="array" ref="J160">_xlfn.XLOOKUP(E160&amp;F160&amp;G160,'2.1 Electricidad'!$B$10:$B$138&amp;'2.1 Electricidad'!$C$10:$C$138&amp;'2.1 Electricidad'!$D$10:$D$138,'2.1 Electricidad'!$G$10:$G$138,"-")</f>
        <v>Energía Abierta (http://energiaabierta.cl/visualizaciones/factor-de-emision-sic-sing/)</v>
      </c>
      <c r="K160" s="764" t="s">
        <v>102</v>
      </c>
      <c r="L160" s="768" t="s">
        <v>102</v>
      </c>
    </row>
    <row r="161" spans="2:12" ht="43.2">
      <c r="B161" s="764" t="s">
        <v>198</v>
      </c>
      <c r="C161" s="764" t="s">
        <v>42</v>
      </c>
      <c r="D161" s="764" t="s">
        <v>198</v>
      </c>
      <c r="E161" s="764" t="s">
        <v>203</v>
      </c>
      <c r="F161" s="775">
        <v>2016</v>
      </c>
      <c r="G161" s="764" t="s">
        <v>201</v>
      </c>
      <c r="H161" s="774" cm="1">
        <f t="array" ref="H161">_xlfn.XLOOKUP(E161&amp;F161&amp;G161,'2.1 Electricidad'!$B$10:$B$138&amp;'2.1 Electricidad'!$C$10:$C$138&amp;'2.1 Electricidad'!$D$10:$D$138,'2.1 Electricidad'!$E$10:$E$138,"-")</f>
        <v>397000</v>
      </c>
      <c r="I161" s="764" t="str" cm="1">
        <f t="array" ref="I161">_xlfn.XLOOKUP(E161&amp;F161&amp;G161,'2.1 Electricidad'!$B$10:$B$138&amp;'2.1 Electricidad'!$C$10:$C$138&amp;'2.1 Electricidad'!$D$10:$D$138,'2.1 Electricidad'!$F$10:$F$138,"-")</f>
        <v>kgCO2e/GWh</v>
      </c>
      <c r="J161" s="764" t="str" cm="1">
        <f t="array" ref="J161">_xlfn.XLOOKUP(E161&amp;F161&amp;G161,'2.1 Electricidad'!$B$10:$B$138&amp;'2.1 Electricidad'!$C$10:$C$138&amp;'2.1 Electricidad'!$D$10:$D$138,'2.1 Electricidad'!$G$10:$G$138,"-")</f>
        <v>Energía Abierta (http://energiaabierta.cl/visualizaciones/factor-de-emision-sic-sing/)</v>
      </c>
      <c r="K161" s="764" t="s">
        <v>102</v>
      </c>
      <c r="L161" s="768" t="s">
        <v>102</v>
      </c>
    </row>
    <row r="162" spans="2:12" ht="43.2">
      <c r="B162" s="764" t="s">
        <v>198</v>
      </c>
      <c r="C162" s="764" t="s">
        <v>42</v>
      </c>
      <c r="D162" s="764" t="s">
        <v>198</v>
      </c>
      <c r="E162" s="764" t="s">
        <v>203</v>
      </c>
      <c r="F162" s="775">
        <v>2016</v>
      </c>
      <c r="G162" s="764" t="s">
        <v>202</v>
      </c>
      <c r="H162" s="765" cm="1">
        <f t="array" ref="H162">_xlfn.XLOOKUP(E162&amp;F162&amp;G162,'2.1 Electricidad'!$B$10:$B$138&amp;'2.1 Electricidad'!$C$10:$C$138&amp;'2.1 Electricidad'!$D$10:$D$138,'2.1 Electricidad'!$E$10:$E$138,"-")</f>
        <v>0.39700000000000002</v>
      </c>
      <c r="I162" s="764" t="str" cm="1">
        <f t="array" ref="I162">_xlfn.XLOOKUP(E162&amp;F162&amp;G162,'2.1 Electricidad'!$B$10:$B$138&amp;'2.1 Electricidad'!$C$10:$C$138&amp;'2.1 Electricidad'!$D$10:$D$138,'2.1 Electricidad'!$F$10:$F$138,"-")</f>
        <v>kgCO2e/kWh</v>
      </c>
      <c r="J162" s="764" t="str" cm="1">
        <f t="array" ref="J162">_xlfn.XLOOKUP(E162&amp;F162&amp;G162,'2.1 Electricidad'!$B$10:$B$138&amp;'2.1 Electricidad'!$C$10:$C$138&amp;'2.1 Electricidad'!$D$10:$D$138,'2.1 Electricidad'!$G$10:$G$138,"-")</f>
        <v>Energía Abierta (http://energiaabierta.cl/visualizaciones/factor-de-emision-sic-sing/)</v>
      </c>
      <c r="K162" s="764" t="s">
        <v>102</v>
      </c>
      <c r="L162" s="768" t="s">
        <v>102</v>
      </c>
    </row>
    <row r="163" spans="2:12" ht="43.2">
      <c r="B163" s="764" t="s">
        <v>198</v>
      </c>
      <c r="C163" s="764" t="s">
        <v>42</v>
      </c>
      <c r="D163" s="764" t="s">
        <v>198</v>
      </c>
      <c r="E163" s="764" t="s">
        <v>203</v>
      </c>
      <c r="F163" s="775">
        <v>2017</v>
      </c>
      <c r="G163" s="764" t="s">
        <v>200</v>
      </c>
      <c r="H163" s="765" cm="1">
        <f t="array" ref="H163">_xlfn.XLOOKUP(E163&amp;F163&amp;G163,'2.1 Electricidad'!$B$10:$B$138&amp;'2.1 Electricidad'!$C$10:$C$138&amp;'2.1 Electricidad'!$D$10:$D$138,'2.1 Electricidad'!$E$10:$E$138,"-")</f>
        <v>336.4</v>
      </c>
      <c r="I163" s="764" t="str" cm="1">
        <f t="array" ref="I163">_xlfn.XLOOKUP(E163&amp;F163&amp;G163,'2.1 Electricidad'!$B$10:$B$138&amp;'2.1 Electricidad'!$C$10:$C$138&amp;'2.1 Electricidad'!$D$10:$D$138,'2.1 Electricidad'!$F$10:$F$138,"-")</f>
        <v>kgCO2e/MWh</v>
      </c>
      <c r="J163" s="764" t="str" cm="1">
        <f t="array" ref="J163">_xlfn.XLOOKUP(E163&amp;F163&amp;G163,'2.1 Electricidad'!$B$10:$B$138&amp;'2.1 Electricidad'!$C$10:$C$138&amp;'2.1 Electricidad'!$D$10:$D$138,'2.1 Electricidad'!$G$10:$G$138,"-")</f>
        <v>Energía Abierta (http://energiaabierta.cl/visualizaciones/factor-de-emision-sic-sing/)</v>
      </c>
      <c r="K163" s="764" t="s">
        <v>102</v>
      </c>
      <c r="L163" s="768" t="s">
        <v>102</v>
      </c>
    </row>
    <row r="164" spans="2:12" ht="43.2">
      <c r="B164" s="764" t="s">
        <v>198</v>
      </c>
      <c r="C164" s="764" t="s">
        <v>42</v>
      </c>
      <c r="D164" s="764" t="s">
        <v>198</v>
      </c>
      <c r="E164" s="764" t="s">
        <v>203</v>
      </c>
      <c r="F164" s="775">
        <v>2017</v>
      </c>
      <c r="G164" s="764" t="s">
        <v>201</v>
      </c>
      <c r="H164" s="774" cm="1">
        <f t="array" ref="H164">_xlfn.XLOOKUP(E164&amp;F164&amp;G164,'2.1 Electricidad'!$B$10:$B$138&amp;'2.1 Electricidad'!$C$10:$C$138&amp;'2.1 Electricidad'!$D$10:$D$138,'2.1 Electricidad'!$E$10:$E$138,"-")</f>
        <v>336400</v>
      </c>
      <c r="I164" s="764" t="str" cm="1">
        <f t="array" ref="I164">_xlfn.XLOOKUP(E164&amp;F164&amp;G164,'2.1 Electricidad'!$B$10:$B$138&amp;'2.1 Electricidad'!$C$10:$C$138&amp;'2.1 Electricidad'!$D$10:$D$138,'2.1 Electricidad'!$F$10:$F$138,"-")</f>
        <v>kgCO2e/GWh</v>
      </c>
      <c r="J164" s="764" t="str" cm="1">
        <f t="array" ref="J164">_xlfn.XLOOKUP(E164&amp;F164&amp;G164,'2.1 Electricidad'!$B$10:$B$138&amp;'2.1 Electricidad'!$C$10:$C$138&amp;'2.1 Electricidad'!$D$10:$D$138,'2.1 Electricidad'!$G$10:$G$138,"-")</f>
        <v>Energía Abierta (http://energiaabierta.cl/visualizaciones/factor-de-emision-sic-sing/)</v>
      </c>
      <c r="K164" s="764" t="s">
        <v>102</v>
      </c>
      <c r="L164" s="768" t="s">
        <v>102</v>
      </c>
    </row>
    <row r="165" spans="2:12" ht="43.2">
      <c r="B165" s="764" t="s">
        <v>198</v>
      </c>
      <c r="C165" s="764" t="s">
        <v>42</v>
      </c>
      <c r="D165" s="764" t="s">
        <v>198</v>
      </c>
      <c r="E165" s="764" t="s">
        <v>203</v>
      </c>
      <c r="F165" s="775">
        <v>2017</v>
      </c>
      <c r="G165" s="764" t="s">
        <v>202</v>
      </c>
      <c r="H165" s="765" cm="1">
        <f t="array" ref="H165">_xlfn.XLOOKUP(E165&amp;F165&amp;G165,'2.1 Electricidad'!$B$10:$B$138&amp;'2.1 Electricidad'!$C$10:$C$138&amp;'2.1 Electricidad'!$D$10:$D$138,'2.1 Electricidad'!$E$10:$E$138,"-")</f>
        <v>0.33639999999999998</v>
      </c>
      <c r="I165" s="764" t="str" cm="1">
        <f t="array" ref="I165">_xlfn.XLOOKUP(E165&amp;F165&amp;G165,'2.1 Electricidad'!$B$10:$B$138&amp;'2.1 Electricidad'!$C$10:$C$138&amp;'2.1 Electricidad'!$D$10:$D$138,'2.1 Electricidad'!$F$10:$F$138,"-")</f>
        <v>kgCO2e/kWh</v>
      </c>
      <c r="J165" s="764" t="str" cm="1">
        <f t="array" ref="J165">_xlfn.XLOOKUP(E165&amp;F165&amp;G165,'2.1 Electricidad'!$B$10:$B$138&amp;'2.1 Electricidad'!$C$10:$C$138&amp;'2.1 Electricidad'!$D$10:$D$138,'2.1 Electricidad'!$G$10:$G$138,"-")</f>
        <v>Energía Abierta (http://energiaabierta.cl/visualizaciones/factor-de-emision-sic-sing/)</v>
      </c>
      <c r="K165" s="764" t="s">
        <v>102</v>
      </c>
      <c r="L165" s="768" t="s">
        <v>102</v>
      </c>
    </row>
    <row r="166" spans="2:12" ht="43.2">
      <c r="B166" s="764" t="s">
        <v>198</v>
      </c>
      <c r="C166" s="764" t="s">
        <v>42</v>
      </c>
      <c r="D166" s="764" t="s">
        <v>198</v>
      </c>
      <c r="E166" s="764" t="s">
        <v>204</v>
      </c>
      <c r="F166" s="775">
        <v>2018</v>
      </c>
      <c r="G166" s="764" t="s">
        <v>200</v>
      </c>
      <c r="H166" s="765" cm="1">
        <f t="array" ref="H166">_xlfn.XLOOKUP(E166&amp;F166&amp;G166,'2.1 Electricidad'!$B$10:$B$138&amp;'2.1 Electricidad'!$C$10:$C$138&amp;'2.1 Electricidad'!$D$10:$D$138,'2.1 Electricidad'!$E$10:$E$138,"-")</f>
        <v>418.7</v>
      </c>
      <c r="I166" s="764" t="str" cm="1">
        <f t="array" ref="I166">_xlfn.XLOOKUP(E166&amp;F166&amp;G166,'2.1 Electricidad'!$B$10:$B$138&amp;'2.1 Electricidad'!$C$10:$C$138&amp;'2.1 Electricidad'!$D$10:$D$138,'2.1 Electricidad'!$F$10:$F$138,"-")</f>
        <v>kgCO2e/MWh</v>
      </c>
      <c r="J166" s="764" t="str" cm="1">
        <f t="array" ref="J166">_xlfn.XLOOKUP(E166&amp;F166&amp;G166,'2.1 Electricidad'!$B$10:$B$138&amp;'2.1 Electricidad'!$C$10:$C$138&amp;'2.1 Electricidad'!$D$10:$D$138,'2.1 Electricidad'!$G$10:$G$138,"-")</f>
        <v>Energía Abierta (http://energiaabierta.cl/visualizaciones/factor-de-emision-sic-sing/)</v>
      </c>
      <c r="K166" s="764" t="s">
        <v>102</v>
      </c>
      <c r="L166" s="768" t="s">
        <v>102</v>
      </c>
    </row>
    <row r="167" spans="2:12" ht="43.2">
      <c r="B167" s="764" t="s">
        <v>198</v>
      </c>
      <c r="C167" s="764" t="s">
        <v>42</v>
      </c>
      <c r="D167" s="764" t="s">
        <v>198</v>
      </c>
      <c r="E167" s="764" t="s">
        <v>204</v>
      </c>
      <c r="F167" s="775">
        <v>2018</v>
      </c>
      <c r="G167" s="764" t="s">
        <v>201</v>
      </c>
      <c r="H167" s="774" cm="1">
        <f t="array" ref="H167">_xlfn.XLOOKUP(E167&amp;F167&amp;G167,'2.1 Electricidad'!$B$10:$B$138&amp;'2.1 Electricidad'!$C$10:$C$138&amp;'2.1 Electricidad'!$D$10:$D$138,'2.1 Electricidad'!$E$10:$E$138,"-")</f>
        <v>418700</v>
      </c>
      <c r="I167" s="764" t="str" cm="1">
        <f t="array" ref="I167">_xlfn.XLOOKUP(E167&amp;F167&amp;G167,'2.1 Electricidad'!$B$10:$B$138&amp;'2.1 Electricidad'!$C$10:$C$138&amp;'2.1 Electricidad'!$D$10:$D$138,'2.1 Electricidad'!$F$10:$F$138,"-")</f>
        <v>kgCO2e/GWh</v>
      </c>
      <c r="J167" s="764" t="str" cm="1">
        <f t="array" ref="J167">_xlfn.XLOOKUP(E167&amp;F167&amp;G167,'2.1 Electricidad'!$B$10:$B$138&amp;'2.1 Electricidad'!$C$10:$C$138&amp;'2.1 Electricidad'!$D$10:$D$138,'2.1 Electricidad'!$G$10:$G$138,"-")</f>
        <v>Energía Abierta (http://energiaabierta.cl/visualizaciones/factor-de-emision-sic-sing/)</v>
      </c>
      <c r="K167" s="764" t="s">
        <v>102</v>
      </c>
      <c r="L167" s="768" t="s">
        <v>102</v>
      </c>
    </row>
    <row r="168" spans="2:12" ht="43.2">
      <c r="B168" s="764" t="s">
        <v>198</v>
      </c>
      <c r="C168" s="764" t="s">
        <v>42</v>
      </c>
      <c r="D168" s="764" t="s">
        <v>198</v>
      </c>
      <c r="E168" s="764" t="s">
        <v>204</v>
      </c>
      <c r="F168" s="775">
        <v>2018</v>
      </c>
      <c r="G168" s="764" t="s">
        <v>202</v>
      </c>
      <c r="H168" s="765" cm="1">
        <f t="array" ref="H168">_xlfn.XLOOKUP(E168&amp;F168&amp;G168,'2.1 Electricidad'!$B$10:$B$138&amp;'2.1 Electricidad'!$C$10:$C$138&amp;'2.1 Electricidad'!$D$10:$D$138,'2.1 Electricidad'!$E$10:$E$138,"-")</f>
        <v>0.41870000000000002</v>
      </c>
      <c r="I168" s="764" t="str" cm="1">
        <f t="array" ref="I168">_xlfn.XLOOKUP(E168&amp;F168&amp;G168,'2.1 Electricidad'!$B$10:$B$138&amp;'2.1 Electricidad'!$C$10:$C$138&amp;'2.1 Electricidad'!$D$10:$D$138,'2.1 Electricidad'!$F$10:$F$138,"-")</f>
        <v>kgCO2e/kWh</v>
      </c>
      <c r="J168" s="764" t="str" cm="1">
        <f t="array" ref="J168">_xlfn.XLOOKUP(E168&amp;F168&amp;G168,'2.1 Electricidad'!$B$10:$B$138&amp;'2.1 Electricidad'!$C$10:$C$138&amp;'2.1 Electricidad'!$D$10:$D$138,'2.1 Electricidad'!$G$10:$G$138,"-")</f>
        <v>Energía Abierta (http://energiaabierta.cl/visualizaciones/factor-de-emision-sic-sing/)</v>
      </c>
      <c r="K168" s="764" t="s">
        <v>102</v>
      </c>
      <c r="L168" s="768" t="s">
        <v>102</v>
      </c>
    </row>
    <row r="169" spans="2:12" ht="43.2">
      <c r="B169" s="764" t="s">
        <v>198</v>
      </c>
      <c r="C169" s="764" t="s">
        <v>42</v>
      </c>
      <c r="D169" s="764" t="s">
        <v>198</v>
      </c>
      <c r="E169" s="764" t="s">
        <v>204</v>
      </c>
      <c r="F169" s="775">
        <v>2019</v>
      </c>
      <c r="G169" s="764" t="s">
        <v>200</v>
      </c>
      <c r="H169" s="765" cm="1">
        <f t="array" ref="H169">_xlfn.XLOOKUP(E169&amp;F169&amp;G169,'2.1 Electricidad'!$B$10:$B$138&amp;'2.1 Electricidad'!$C$10:$C$138&amp;'2.1 Electricidad'!$D$10:$D$138,'2.1 Electricidad'!$E$10:$E$138,"-")</f>
        <v>405.6</v>
      </c>
      <c r="I169" s="764" t="str" cm="1">
        <f t="array" ref="I169">_xlfn.XLOOKUP(E169&amp;F169&amp;G169,'2.1 Electricidad'!$B$10:$B$138&amp;'2.1 Electricidad'!$C$10:$C$138&amp;'2.1 Electricidad'!$D$10:$D$138,'2.1 Electricidad'!$F$10:$F$138,"-")</f>
        <v>kgCO2e/MWh</v>
      </c>
      <c r="J169" s="764" t="str" cm="1">
        <f t="array" ref="J169">_xlfn.XLOOKUP(E169&amp;F169&amp;G169,'2.1 Electricidad'!$B$10:$B$138&amp;'2.1 Electricidad'!$C$10:$C$138&amp;'2.1 Electricidad'!$D$10:$D$138,'2.1 Electricidad'!$G$10:$G$138,"-")</f>
        <v>Energía Abierta (http://energiaabierta.cl/visualizaciones/factor-de-emision-sic-sing/)</v>
      </c>
      <c r="K169" s="764" t="s">
        <v>102</v>
      </c>
      <c r="L169" s="768" t="s">
        <v>102</v>
      </c>
    </row>
    <row r="170" spans="2:12" ht="43.2">
      <c r="B170" s="764" t="s">
        <v>198</v>
      </c>
      <c r="C170" s="764" t="s">
        <v>42</v>
      </c>
      <c r="D170" s="764" t="s">
        <v>198</v>
      </c>
      <c r="E170" s="764" t="s">
        <v>204</v>
      </c>
      <c r="F170" s="775">
        <v>2019</v>
      </c>
      <c r="G170" s="764" t="s">
        <v>201</v>
      </c>
      <c r="H170" s="774" cm="1">
        <f t="array" ref="H170">_xlfn.XLOOKUP(E170&amp;F170&amp;G170,'2.1 Electricidad'!$B$10:$B$138&amp;'2.1 Electricidad'!$C$10:$C$138&amp;'2.1 Electricidad'!$D$10:$D$138,'2.1 Electricidad'!$E$10:$E$138,"-")</f>
        <v>405600</v>
      </c>
      <c r="I170" s="764" t="str" cm="1">
        <f t="array" ref="I170">_xlfn.XLOOKUP(E170&amp;F170&amp;G170,'2.1 Electricidad'!$B$10:$B$138&amp;'2.1 Electricidad'!$C$10:$C$138&amp;'2.1 Electricidad'!$D$10:$D$138,'2.1 Electricidad'!$F$10:$F$138,"-")</f>
        <v>kgCO2e/GWh</v>
      </c>
      <c r="J170" s="764" t="str" cm="1">
        <f t="array" ref="J170">_xlfn.XLOOKUP(E170&amp;F170&amp;G170,'2.1 Electricidad'!$B$10:$B$138&amp;'2.1 Electricidad'!$C$10:$C$138&amp;'2.1 Electricidad'!$D$10:$D$138,'2.1 Electricidad'!$G$10:$G$138,"-")</f>
        <v>Energía Abierta (http://energiaabierta.cl/visualizaciones/factor-de-emision-sic-sing/)</v>
      </c>
      <c r="K170" s="764" t="s">
        <v>102</v>
      </c>
      <c r="L170" s="768" t="s">
        <v>102</v>
      </c>
    </row>
    <row r="171" spans="2:12" ht="43.2">
      <c r="B171" s="764" t="s">
        <v>198</v>
      </c>
      <c r="C171" s="764" t="s">
        <v>42</v>
      </c>
      <c r="D171" s="764" t="s">
        <v>198</v>
      </c>
      <c r="E171" s="764" t="s">
        <v>204</v>
      </c>
      <c r="F171" s="775">
        <v>2019</v>
      </c>
      <c r="G171" s="764" t="s">
        <v>202</v>
      </c>
      <c r="H171" s="765" cm="1">
        <f t="array" ref="H171">_xlfn.XLOOKUP(E171&amp;F171&amp;G171,'2.1 Electricidad'!$B$10:$B$138&amp;'2.1 Electricidad'!$C$10:$C$138&amp;'2.1 Electricidad'!$D$10:$D$138,'2.1 Electricidad'!$E$10:$E$138,"-")</f>
        <v>0.40560000000000002</v>
      </c>
      <c r="I171" s="764" t="str" cm="1">
        <f t="array" ref="I171">_xlfn.XLOOKUP(E171&amp;F171&amp;G171,'2.1 Electricidad'!$B$10:$B$138&amp;'2.1 Electricidad'!$C$10:$C$138&amp;'2.1 Electricidad'!$D$10:$D$138,'2.1 Electricidad'!$F$10:$F$138,"-")</f>
        <v>kgCO2e/kWh</v>
      </c>
      <c r="J171" s="764" t="str" cm="1">
        <f t="array" ref="J171">_xlfn.XLOOKUP(E171&amp;F171&amp;G171,'2.1 Electricidad'!$B$10:$B$138&amp;'2.1 Electricidad'!$C$10:$C$138&amp;'2.1 Electricidad'!$D$10:$D$138,'2.1 Electricidad'!$G$10:$G$138,"-")</f>
        <v>Energía Abierta (http://energiaabierta.cl/visualizaciones/factor-de-emision-sic-sing/)</v>
      </c>
      <c r="K171" s="764" t="s">
        <v>102</v>
      </c>
      <c r="L171" s="768" t="s">
        <v>102</v>
      </c>
    </row>
    <row r="172" spans="2:12" ht="43.2">
      <c r="B172" s="764" t="s">
        <v>198</v>
      </c>
      <c r="C172" s="764" t="s">
        <v>42</v>
      </c>
      <c r="D172" s="764" t="s">
        <v>198</v>
      </c>
      <c r="E172" s="764" t="s">
        <v>204</v>
      </c>
      <c r="F172" s="775">
        <v>2020</v>
      </c>
      <c r="G172" s="764" t="s">
        <v>200</v>
      </c>
      <c r="H172" s="765" cm="1">
        <f t="array" ref="H172">_xlfn.XLOOKUP(E172&amp;F172&amp;G172,'2.1 Electricidad'!$B$10:$B$138&amp;'2.1 Electricidad'!$C$10:$C$138&amp;'2.1 Electricidad'!$D$10:$D$138,'2.1 Electricidad'!$E$10:$E$138,"-")</f>
        <v>383.4</v>
      </c>
      <c r="I172" s="764" t="str" cm="1">
        <f t="array" ref="I172">_xlfn.XLOOKUP(E172&amp;F172&amp;G172,'2.1 Electricidad'!$B$10:$B$138&amp;'2.1 Electricidad'!$C$10:$C$138&amp;'2.1 Electricidad'!$D$10:$D$138,'2.1 Electricidad'!$F$10:$F$138,"-")</f>
        <v>kgCO2e/MWh</v>
      </c>
      <c r="J172" s="764" t="str" cm="1">
        <f t="array" ref="J172">_xlfn.XLOOKUP(E172&amp;F172&amp;G172,'2.1 Electricidad'!$B$10:$B$138&amp;'2.1 Electricidad'!$C$10:$C$138&amp;'2.1 Electricidad'!$D$10:$D$138,'2.1 Electricidad'!$G$10:$G$138,"-")</f>
        <v>Energía Abierta (http://energiaabierta.cl/visualizaciones/factor-de-emision-sic-sing/)</v>
      </c>
      <c r="K172" s="764" t="s">
        <v>102</v>
      </c>
      <c r="L172" s="768" t="s">
        <v>102</v>
      </c>
    </row>
    <row r="173" spans="2:12" ht="43.2">
      <c r="B173" s="764" t="s">
        <v>198</v>
      </c>
      <c r="C173" s="764" t="s">
        <v>42</v>
      </c>
      <c r="D173" s="764" t="s">
        <v>198</v>
      </c>
      <c r="E173" s="764" t="s">
        <v>204</v>
      </c>
      <c r="F173" s="775">
        <v>2020</v>
      </c>
      <c r="G173" s="764" t="s">
        <v>201</v>
      </c>
      <c r="H173" s="774" cm="1">
        <f t="array" ref="H173">_xlfn.XLOOKUP(E173&amp;F173&amp;G173,'2.1 Electricidad'!$B$10:$B$138&amp;'2.1 Electricidad'!$C$10:$C$138&amp;'2.1 Electricidad'!$D$10:$D$138,'2.1 Electricidad'!$E$10:$E$138,"-")</f>
        <v>383400</v>
      </c>
      <c r="I173" s="764" t="str" cm="1">
        <f t="array" ref="I173">_xlfn.XLOOKUP(E173&amp;F173&amp;G173,'2.1 Electricidad'!$B$10:$B$138&amp;'2.1 Electricidad'!$C$10:$C$138&amp;'2.1 Electricidad'!$D$10:$D$138,'2.1 Electricidad'!$F$10:$F$138,"-")</f>
        <v>kgCO2e/GWh</v>
      </c>
      <c r="J173" s="764" t="str" cm="1">
        <f t="array" ref="J173">_xlfn.XLOOKUP(E173&amp;F173&amp;G173,'2.1 Electricidad'!$B$10:$B$138&amp;'2.1 Electricidad'!$C$10:$C$138&amp;'2.1 Electricidad'!$D$10:$D$138,'2.1 Electricidad'!$G$10:$G$138,"-")</f>
        <v>Energía Abierta (http://energiaabierta.cl/visualizaciones/factor-de-emision-sic-sing/)</v>
      </c>
      <c r="K173" s="764" t="s">
        <v>102</v>
      </c>
      <c r="L173" s="768" t="s">
        <v>102</v>
      </c>
    </row>
    <row r="174" spans="2:12" ht="43.2">
      <c r="B174" s="764" t="s">
        <v>198</v>
      </c>
      <c r="C174" s="764" t="s">
        <v>42</v>
      </c>
      <c r="D174" s="764" t="s">
        <v>198</v>
      </c>
      <c r="E174" s="764" t="s">
        <v>204</v>
      </c>
      <c r="F174" s="775">
        <v>2020</v>
      </c>
      <c r="G174" s="764" t="s">
        <v>202</v>
      </c>
      <c r="H174" s="765" cm="1">
        <f t="array" ref="H174">_xlfn.XLOOKUP(E174&amp;F174&amp;G174,'2.1 Electricidad'!$B$10:$B$138&amp;'2.1 Electricidad'!$C$10:$C$138&amp;'2.1 Electricidad'!$D$10:$D$138,'2.1 Electricidad'!$E$10:$E$138,"-")</f>
        <v>0.38339999999999996</v>
      </c>
      <c r="I174" s="764" t="str" cm="1">
        <f t="array" ref="I174">_xlfn.XLOOKUP(E174&amp;F174&amp;G174,'2.1 Electricidad'!$B$10:$B$138&amp;'2.1 Electricidad'!$C$10:$C$138&amp;'2.1 Electricidad'!$D$10:$D$138,'2.1 Electricidad'!$F$10:$F$138,"-")</f>
        <v>kgCO2e/kWh</v>
      </c>
      <c r="J174" s="764" t="str" cm="1">
        <f t="array" ref="J174">_xlfn.XLOOKUP(E174&amp;F174&amp;G174,'2.1 Electricidad'!$B$10:$B$138&amp;'2.1 Electricidad'!$C$10:$C$138&amp;'2.1 Electricidad'!$D$10:$D$138,'2.1 Electricidad'!$G$10:$G$138,"-")</f>
        <v>Energía Abierta (http://energiaabierta.cl/visualizaciones/factor-de-emision-sic-sing/)</v>
      </c>
      <c r="K174" s="764" t="s">
        <v>102</v>
      </c>
      <c r="L174" s="768" t="s">
        <v>102</v>
      </c>
    </row>
    <row r="175" spans="2:12" ht="43.2">
      <c r="B175" s="764" t="s">
        <v>198</v>
      </c>
      <c r="C175" s="764" t="s">
        <v>42</v>
      </c>
      <c r="D175" s="764" t="s">
        <v>198</v>
      </c>
      <c r="E175" s="764" t="s">
        <v>204</v>
      </c>
      <c r="F175" s="775">
        <v>2021</v>
      </c>
      <c r="G175" s="764" t="s">
        <v>200</v>
      </c>
      <c r="H175" s="765" cm="1">
        <f t="array" ref="H175">_xlfn.XLOOKUP(E175&amp;F175&amp;G175,'2.1 Electricidad'!$B$10:$B$138&amp;'2.1 Electricidad'!$C$10:$C$138&amp;'2.1 Electricidad'!$D$10:$D$138,'2.1 Electricidad'!$E$10:$E$138,"-")</f>
        <v>390.7</v>
      </c>
      <c r="I175" s="764" t="str" cm="1">
        <f t="array" ref="I175">_xlfn.XLOOKUP(E175&amp;F175&amp;G175,'2.1 Electricidad'!$B$10:$B$138&amp;'2.1 Electricidad'!$C$10:$C$138&amp;'2.1 Electricidad'!$D$10:$D$138,'2.1 Electricidad'!$F$10:$F$138,"-")</f>
        <v>kgCO2e/MWh</v>
      </c>
      <c r="J175" s="764" t="str" cm="1">
        <f t="array" ref="J175">_xlfn.XLOOKUP(E175&amp;F175&amp;G175,'2.1 Electricidad'!$B$10:$B$138&amp;'2.1 Electricidad'!$C$10:$C$138&amp;'2.1 Electricidad'!$D$10:$D$138,'2.1 Electricidad'!$G$10:$G$138,"-")</f>
        <v>Energía Abierta (http://energiaabierta.cl/visualizaciones/factor-de-emision-sic-sing/)</v>
      </c>
      <c r="K175" s="764" t="s">
        <v>102</v>
      </c>
      <c r="L175" s="768" t="s">
        <v>102</v>
      </c>
    </row>
    <row r="176" spans="2:12" ht="43.2">
      <c r="B176" s="764" t="s">
        <v>198</v>
      </c>
      <c r="C176" s="764" t="s">
        <v>42</v>
      </c>
      <c r="D176" s="764" t="s">
        <v>198</v>
      </c>
      <c r="E176" s="764" t="s">
        <v>204</v>
      </c>
      <c r="F176" s="775">
        <v>2021</v>
      </c>
      <c r="G176" s="764" t="s">
        <v>201</v>
      </c>
      <c r="H176" s="774" cm="1">
        <f t="array" ref="H176">_xlfn.XLOOKUP(E176&amp;F176&amp;G176,'2.1 Electricidad'!$B$10:$B$138&amp;'2.1 Electricidad'!$C$10:$C$138&amp;'2.1 Electricidad'!$D$10:$D$138,'2.1 Electricidad'!$E$10:$E$138,"-")</f>
        <v>390700</v>
      </c>
      <c r="I176" s="764" t="str" cm="1">
        <f t="array" ref="I176">_xlfn.XLOOKUP(E176&amp;F176&amp;G176,'2.1 Electricidad'!$B$10:$B$138&amp;'2.1 Electricidad'!$C$10:$C$138&amp;'2.1 Electricidad'!$D$10:$D$138,'2.1 Electricidad'!$F$10:$F$138,"-")</f>
        <v>kgCO2e/GWh</v>
      </c>
      <c r="J176" s="764" t="str" cm="1">
        <f t="array" ref="J176">_xlfn.XLOOKUP(E176&amp;F176&amp;G176,'2.1 Electricidad'!$B$10:$B$138&amp;'2.1 Electricidad'!$C$10:$C$138&amp;'2.1 Electricidad'!$D$10:$D$138,'2.1 Electricidad'!$G$10:$G$138,"-")</f>
        <v>Energía Abierta (http://energiaabierta.cl/visualizaciones/factor-de-emision-sic-sing/)</v>
      </c>
      <c r="K176" s="764" t="s">
        <v>102</v>
      </c>
      <c r="L176" s="768" t="s">
        <v>102</v>
      </c>
    </row>
    <row r="177" spans="2:12" ht="43.2">
      <c r="B177" s="764" t="s">
        <v>198</v>
      </c>
      <c r="C177" s="764" t="s">
        <v>42</v>
      </c>
      <c r="D177" s="764" t="s">
        <v>198</v>
      </c>
      <c r="E177" s="764" t="s">
        <v>204</v>
      </c>
      <c r="F177" s="775">
        <v>2021</v>
      </c>
      <c r="G177" s="764" t="s">
        <v>202</v>
      </c>
      <c r="H177" s="765" cm="1">
        <f t="array" ref="H177">_xlfn.XLOOKUP(E177&amp;F177&amp;G177,'2.1 Electricidad'!$B$10:$B$138&amp;'2.1 Electricidad'!$C$10:$C$138&amp;'2.1 Electricidad'!$D$10:$D$138,'2.1 Electricidad'!$E$10:$E$138,"-")</f>
        <v>0.39069999999999999</v>
      </c>
      <c r="I177" s="764" t="str" cm="1">
        <f t="array" ref="I177">_xlfn.XLOOKUP(E177&amp;F177&amp;G177,'2.1 Electricidad'!$B$10:$B$138&amp;'2.1 Electricidad'!$C$10:$C$138&amp;'2.1 Electricidad'!$D$10:$D$138,'2.1 Electricidad'!$F$10:$F$138,"-")</f>
        <v>kgCO2e/kWh</v>
      </c>
      <c r="J177" s="764" t="str" cm="1">
        <f t="array" ref="J177">_xlfn.XLOOKUP(E177&amp;F177&amp;G177,'2.1 Electricidad'!$B$10:$B$138&amp;'2.1 Electricidad'!$C$10:$C$138&amp;'2.1 Electricidad'!$D$10:$D$138,'2.1 Electricidad'!$G$10:$G$138,"-")</f>
        <v>Energía Abierta (http://energiaabierta.cl/visualizaciones/factor-de-emision-sic-sing/)</v>
      </c>
      <c r="K177" s="764" t="s">
        <v>102</v>
      </c>
      <c r="L177" s="768" t="s">
        <v>102</v>
      </c>
    </row>
    <row r="178" spans="2:12" ht="43.2">
      <c r="B178" s="764" t="s">
        <v>198</v>
      </c>
      <c r="C178" s="764" t="s">
        <v>42</v>
      </c>
      <c r="D178" s="764" t="s">
        <v>198</v>
      </c>
      <c r="E178" s="764" t="s">
        <v>204</v>
      </c>
      <c r="F178" s="775">
        <v>2022</v>
      </c>
      <c r="G178" s="764" t="s">
        <v>200</v>
      </c>
      <c r="H178" s="765" cm="1">
        <f t="array" ref="H178">_xlfn.XLOOKUP(E178&amp;F178&amp;G178,'2.1 Electricidad'!$B$10:$B$138&amp;'2.1 Electricidad'!$C$10:$C$138&amp;'2.1 Electricidad'!$D$10:$D$138,'2.1 Electricidad'!$E$10:$E$138,"-")</f>
        <v>300.60000000000002</v>
      </c>
      <c r="I178" s="764" t="str" cm="1">
        <f t="array" ref="I178">_xlfn.XLOOKUP(E178&amp;F178&amp;G178,'2.1 Electricidad'!$B$10:$B$138&amp;'2.1 Electricidad'!$C$10:$C$138&amp;'2.1 Electricidad'!$D$10:$D$138,'2.1 Electricidad'!$F$10:$F$138,"-")</f>
        <v>kgCO2e/MWh</v>
      </c>
      <c r="J178" s="764" t="str" cm="1">
        <f t="array" ref="J178">_xlfn.XLOOKUP(E178&amp;F178&amp;G178,'2.1 Electricidad'!$B$10:$B$138&amp;'2.1 Electricidad'!$C$10:$C$138&amp;'2.1 Electricidad'!$D$10:$D$138,'2.1 Electricidad'!$G$10:$G$138,"-")</f>
        <v>Energía Abierta (http://energiaabierta.cl/visualizaciones/factor-de-emision-sic-sing/)</v>
      </c>
      <c r="K178" s="764" t="s">
        <v>102</v>
      </c>
      <c r="L178" s="768" t="s">
        <v>102</v>
      </c>
    </row>
    <row r="179" spans="2:12" ht="43.2">
      <c r="B179" s="764" t="s">
        <v>198</v>
      </c>
      <c r="C179" s="764" t="s">
        <v>42</v>
      </c>
      <c r="D179" s="764" t="s">
        <v>198</v>
      </c>
      <c r="E179" s="764" t="s">
        <v>204</v>
      </c>
      <c r="F179" s="775">
        <v>2022</v>
      </c>
      <c r="G179" s="764" t="s">
        <v>201</v>
      </c>
      <c r="H179" s="774" cm="1">
        <f t="array" ref="H179">_xlfn.XLOOKUP(E179&amp;F179&amp;G179,'2.1 Electricidad'!$B$10:$B$138&amp;'2.1 Electricidad'!$C$10:$C$138&amp;'2.1 Electricidad'!$D$10:$D$138,'2.1 Electricidad'!$E$10:$E$138,"-")</f>
        <v>300600</v>
      </c>
      <c r="I179" s="764" t="str" cm="1">
        <f t="array" ref="I179">_xlfn.XLOOKUP(E179&amp;F179&amp;G179,'2.1 Electricidad'!$B$10:$B$138&amp;'2.1 Electricidad'!$C$10:$C$138&amp;'2.1 Electricidad'!$D$10:$D$138,'2.1 Electricidad'!$F$10:$F$138,"-")</f>
        <v>kgCO2e/GWh</v>
      </c>
      <c r="J179" s="764" t="str" cm="1">
        <f t="array" ref="J179">_xlfn.XLOOKUP(E179&amp;F179&amp;G179,'2.1 Electricidad'!$B$10:$B$138&amp;'2.1 Electricidad'!$C$10:$C$138&amp;'2.1 Electricidad'!$D$10:$D$138,'2.1 Electricidad'!$G$10:$G$138,"-")</f>
        <v>Energía Abierta (http://energiaabierta.cl/visualizaciones/factor-de-emision-sic-sing/)</v>
      </c>
      <c r="K179" s="764" t="s">
        <v>102</v>
      </c>
      <c r="L179" s="768" t="s">
        <v>102</v>
      </c>
    </row>
    <row r="180" spans="2:12" ht="43.2">
      <c r="B180" s="764" t="s">
        <v>198</v>
      </c>
      <c r="C180" s="764" t="s">
        <v>42</v>
      </c>
      <c r="D180" s="764" t="s">
        <v>198</v>
      </c>
      <c r="E180" s="764" t="s">
        <v>204</v>
      </c>
      <c r="F180" s="775">
        <v>2022</v>
      </c>
      <c r="G180" s="764" t="s">
        <v>202</v>
      </c>
      <c r="H180" s="765" cm="1">
        <f t="array" ref="H180">_xlfn.XLOOKUP(E180&amp;F180&amp;G180,'2.1 Electricidad'!$B$10:$B$138&amp;'2.1 Electricidad'!$C$10:$C$138&amp;'2.1 Electricidad'!$D$10:$D$138,'2.1 Electricidad'!$E$10:$E$138,"-")</f>
        <v>0.30060000000000003</v>
      </c>
      <c r="I180" s="764" t="str" cm="1">
        <f t="array" ref="I180">_xlfn.XLOOKUP(E180&amp;F180&amp;G180,'2.1 Electricidad'!$B$10:$B$138&amp;'2.1 Electricidad'!$C$10:$C$138&amp;'2.1 Electricidad'!$D$10:$D$138,'2.1 Electricidad'!$F$10:$F$138,"-")</f>
        <v>kgCO2e/kWh</v>
      </c>
      <c r="J180" s="764" t="str" cm="1">
        <f t="array" ref="J180">_xlfn.XLOOKUP(E180&amp;F180&amp;G180,'2.1 Electricidad'!$B$10:$B$138&amp;'2.1 Electricidad'!$C$10:$C$138&amp;'2.1 Electricidad'!$D$10:$D$138,'2.1 Electricidad'!$G$10:$G$138,"-")</f>
        <v>Energía Abierta (http://energiaabierta.cl/visualizaciones/factor-de-emision-sic-sing/)</v>
      </c>
      <c r="K180" s="764" t="s">
        <v>102</v>
      </c>
      <c r="L180" s="768" t="s">
        <v>102</v>
      </c>
    </row>
    <row r="181" spans="2:12" ht="43.2">
      <c r="B181" s="764" t="s">
        <v>198</v>
      </c>
      <c r="C181" s="764" t="s">
        <v>42</v>
      </c>
      <c r="D181" s="764" t="s">
        <v>198</v>
      </c>
      <c r="E181" s="764" t="s">
        <v>204</v>
      </c>
      <c r="F181" s="775">
        <v>2023</v>
      </c>
      <c r="G181" s="764" t="s">
        <v>200</v>
      </c>
      <c r="H181" s="765" cm="1">
        <f t="array" ref="H181">_xlfn.XLOOKUP(E181&amp;F181&amp;G181,'2.1 Electricidad'!$B$10:$B$138&amp;'2.1 Electricidad'!$C$10:$C$138&amp;'2.1 Electricidad'!$D$10:$D$138,'2.1 Electricidad'!$E$10:$E$138,"-")</f>
        <v>242.1</v>
      </c>
      <c r="I181" s="764" t="str" cm="1">
        <f t="array" ref="I181">_xlfn.XLOOKUP(E181&amp;F181&amp;G181,'2.1 Electricidad'!$B$10:$B$138&amp;'2.1 Electricidad'!$C$10:$C$138&amp;'2.1 Electricidad'!$D$10:$D$138,'2.1 Electricidad'!$F$10:$F$138,"-")</f>
        <v>kgCO2e/MWh</v>
      </c>
      <c r="J181" s="764" t="str" cm="1">
        <f t="array" ref="J181">_xlfn.XLOOKUP(E181&amp;F181&amp;G181,'2.1 Electricidad'!$B$10:$B$138&amp;'2.1 Electricidad'!$C$10:$C$138&amp;'2.1 Electricidad'!$D$10:$D$138,'2.1 Electricidad'!$G$10:$G$138,"-")</f>
        <v>Energía Abierta (http://energiaabierta.cl/visualizaciones/factor-de-emision-sic-sing/)</v>
      </c>
      <c r="K181" s="764" t="s">
        <v>102</v>
      </c>
      <c r="L181" s="768" t="s">
        <v>102</v>
      </c>
    </row>
    <row r="182" spans="2:12" ht="43.2">
      <c r="B182" s="764" t="s">
        <v>198</v>
      </c>
      <c r="C182" s="764" t="s">
        <v>42</v>
      </c>
      <c r="D182" s="764" t="s">
        <v>198</v>
      </c>
      <c r="E182" s="764" t="s">
        <v>204</v>
      </c>
      <c r="F182" s="775">
        <v>2023</v>
      </c>
      <c r="G182" s="764" t="s">
        <v>201</v>
      </c>
      <c r="H182" s="774" cm="1">
        <f t="array" ref="H182">_xlfn.XLOOKUP(E182&amp;F182&amp;G182,'2.1 Electricidad'!$B$10:$B$138&amp;'2.1 Electricidad'!$C$10:$C$138&amp;'2.1 Electricidad'!$D$10:$D$138,'2.1 Electricidad'!$E$10:$E$138,"-")</f>
        <v>242100</v>
      </c>
      <c r="I182" s="764" t="str" cm="1">
        <f t="array" ref="I182">_xlfn.XLOOKUP(E182&amp;F182&amp;G182,'2.1 Electricidad'!$B$10:$B$138&amp;'2.1 Electricidad'!$C$10:$C$138&amp;'2.1 Electricidad'!$D$10:$D$138,'2.1 Electricidad'!$F$10:$F$138,"-")</f>
        <v>kgCO2e/GWh</v>
      </c>
      <c r="J182" s="764" t="str" cm="1">
        <f t="array" ref="J182">_xlfn.XLOOKUP(E182&amp;F182&amp;G182,'2.1 Electricidad'!$B$10:$B$138&amp;'2.1 Electricidad'!$C$10:$C$138&amp;'2.1 Electricidad'!$D$10:$D$138,'2.1 Electricidad'!$G$10:$G$138,"-")</f>
        <v>Energía Abierta (http://energiaabierta.cl/visualizaciones/factor-de-emision-sic-sing/)</v>
      </c>
      <c r="K182" s="764" t="s">
        <v>102</v>
      </c>
      <c r="L182" s="768" t="s">
        <v>102</v>
      </c>
    </row>
    <row r="183" spans="2:12" ht="43.2">
      <c r="B183" s="764" t="s">
        <v>198</v>
      </c>
      <c r="C183" s="764" t="s">
        <v>42</v>
      </c>
      <c r="D183" s="764" t="s">
        <v>198</v>
      </c>
      <c r="E183" s="764" t="s">
        <v>204</v>
      </c>
      <c r="F183" s="775">
        <v>2023</v>
      </c>
      <c r="G183" s="764" t="s">
        <v>202</v>
      </c>
      <c r="H183" s="765" cm="1">
        <f t="array" ref="H183">_xlfn.XLOOKUP(E183&amp;F183&amp;G183,'2.1 Electricidad'!$B$10:$B$138&amp;'2.1 Electricidad'!$C$10:$C$138&amp;'2.1 Electricidad'!$D$10:$D$138,'2.1 Electricidad'!$E$10:$E$138,"-")</f>
        <v>0.24210000000000001</v>
      </c>
      <c r="I183" s="764" t="str" cm="1">
        <f t="array" ref="I183">_xlfn.XLOOKUP(E183&amp;F183&amp;G183,'2.1 Electricidad'!$B$10:$B$138&amp;'2.1 Electricidad'!$C$10:$C$138&amp;'2.1 Electricidad'!$D$10:$D$138,'2.1 Electricidad'!$F$10:$F$138,"-")</f>
        <v>kgCO2e/kWh</v>
      </c>
      <c r="J183" s="764" t="str" cm="1">
        <f t="array" ref="J183">_xlfn.XLOOKUP(E183&amp;F183&amp;G183,'2.1 Electricidad'!$B$10:$B$138&amp;'2.1 Electricidad'!$C$10:$C$138&amp;'2.1 Electricidad'!$D$10:$D$138,'2.1 Electricidad'!$G$10:$G$138,"-")</f>
        <v>Energía Abierta (http://energiaabierta.cl/visualizaciones/factor-de-emision-sic-sing/)</v>
      </c>
      <c r="K183" s="764" t="s">
        <v>102</v>
      </c>
      <c r="L183" s="768" t="s">
        <v>102</v>
      </c>
    </row>
    <row r="184" spans="2:12" ht="43.2">
      <c r="B184" s="764" t="s">
        <v>198</v>
      </c>
      <c r="C184" s="764" t="s">
        <v>42</v>
      </c>
      <c r="D184" s="764" t="s">
        <v>198</v>
      </c>
      <c r="E184" s="764" t="s">
        <v>204</v>
      </c>
      <c r="F184" s="775">
        <v>2024</v>
      </c>
      <c r="G184" s="764" t="s">
        <v>200</v>
      </c>
      <c r="H184" s="765" cm="1">
        <f t="array" ref="H184">_xlfn.XLOOKUP(E184&amp;F184&amp;G184,'2.1 Electricidad'!$B$10:$B$138&amp;'2.1 Electricidad'!$C$10:$C$138&amp;'2.1 Electricidad'!$D$10:$D$138,'2.1 Electricidad'!$E$10:$E$138,"-")</f>
        <v>202.1</v>
      </c>
      <c r="I184" s="764" t="str" cm="1">
        <f t="array" ref="I184">_xlfn.XLOOKUP(E184&amp;F184&amp;G184,'2.1 Electricidad'!$B$10:$B$138&amp;'2.1 Electricidad'!$C$10:$C$138&amp;'2.1 Electricidad'!$D$10:$D$138,'2.1 Electricidad'!$F$10:$F$138,"-")</f>
        <v>kgCO2e/MWh</v>
      </c>
      <c r="J184" s="764" t="str" cm="1">
        <f t="array" ref="J184">_xlfn.XLOOKUP(E184&amp;F184&amp;G184,'2.1 Electricidad'!$B$10:$B$138&amp;'2.1 Electricidad'!$C$10:$C$138&amp;'2.1 Electricidad'!$D$10:$D$138,'2.1 Electricidad'!$G$10:$G$138,"-")</f>
        <v>Energía Abierta (http://energiaabierta.cl/visualizaciones/factor-de-emision-sic-sing/)</v>
      </c>
      <c r="K184" s="764" t="s">
        <v>102</v>
      </c>
      <c r="L184" s="768" t="s">
        <v>102</v>
      </c>
    </row>
    <row r="185" spans="2:12" ht="43.2">
      <c r="B185" s="764" t="s">
        <v>198</v>
      </c>
      <c r="C185" s="764" t="s">
        <v>42</v>
      </c>
      <c r="D185" s="764" t="s">
        <v>198</v>
      </c>
      <c r="E185" s="764" t="s">
        <v>204</v>
      </c>
      <c r="F185" s="775">
        <v>2024</v>
      </c>
      <c r="G185" s="764" t="s">
        <v>201</v>
      </c>
      <c r="H185" s="774" cm="1">
        <f t="array" ref="H185">_xlfn.XLOOKUP(E185&amp;F185&amp;G185,'2.1 Electricidad'!$B$10:$B$138&amp;'2.1 Electricidad'!$C$10:$C$138&amp;'2.1 Electricidad'!$D$10:$D$138,'2.1 Electricidad'!$E$10:$E$138,"-")</f>
        <v>202100</v>
      </c>
      <c r="I185" s="764" t="str" cm="1">
        <f t="array" ref="I185">_xlfn.XLOOKUP(E185&amp;F185&amp;G185,'2.1 Electricidad'!$B$10:$B$138&amp;'2.1 Electricidad'!$C$10:$C$138&amp;'2.1 Electricidad'!$D$10:$D$138,'2.1 Electricidad'!$F$10:$F$138,"-")</f>
        <v>kgCO2e/GWh</v>
      </c>
      <c r="J185" s="764" t="str" cm="1">
        <f t="array" ref="J185">_xlfn.XLOOKUP(E185&amp;F185&amp;G185,'2.1 Electricidad'!$B$10:$B$138&amp;'2.1 Electricidad'!$C$10:$C$138&amp;'2.1 Electricidad'!$D$10:$D$138,'2.1 Electricidad'!$G$10:$G$138,"-")</f>
        <v>Energía Abierta (http://energiaabierta.cl/visualizaciones/factor-de-emision-sic-sing/)</v>
      </c>
      <c r="K185" s="764" t="s">
        <v>102</v>
      </c>
      <c r="L185" s="768" t="s">
        <v>102</v>
      </c>
    </row>
    <row r="186" spans="2:12" ht="43.2">
      <c r="B186" s="764" t="s">
        <v>198</v>
      </c>
      <c r="C186" s="764" t="s">
        <v>42</v>
      </c>
      <c r="D186" s="764" t="s">
        <v>198</v>
      </c>
      <c r="E186" s="764" t="s">
        <v>204</v>
      </c>
      <c r="F186" s="775">
        <v>2024</v>
      </c>
      <c r="G186" s="764" t="s">
        <v>202</v>
      </c>
      <c r="H186" s="765" cm="1">
        <f t="array" ref="H186">_xlfn.XLOOKUP(E186&amp;F186&amp;G186,'2.1 Electricidad'!$B$10:$B$138&amp;'2.1 Electricidad'!$C$10:$C$138&amp;'2.1 Electricidad'!$D$10:$D$138,'2.1 Electricidad'!$E$10:$E$138,"-")</f>
        <v>0.2021</v>
      </c>
      <c r="I186" s="764" t="str" cm="1">
        <f t="array" ref="I186">_xlfn.XLOOKUP(E186&amp;F186&amp;G186,'2.1 Electricidad'!$B$10:$B$138&amp;'2.1 Electricidad'!$C$10:$C$138&amp;'2.1 Electricidad'!$D$10:$D$138,'2.1 Electricidad'!$F$10:$F$138,"-")</f>
        <v>kgCO2e/kWh</v>
      </c>
      <c r="J186" s="764" t="str" cm="1">
        <f t="array" ref="J186">_xlfn.XLOOKUP(E186&amp;F186&amp;G186,'2.1 Electricidad'!$B$10:$B$138&amp;'2.1 Electricidad'!$C$10:$C$138&amp;'2.1 Electricidad'!$D$10:$D$138,'2.1 Electricidad'!$G$10:$G$138,"-")</f>
        <v>Energía Abierta (http://energiaabierta.cl/visualizaciones/factor-de-emision-sic-sing/)</v>
      </c>
      <c r="K186" s="764" t="s">
        <v>102</v>
      </c>
      <c r="L186" s="768" t="s">
        <v>102</v>
      </c>
    </row>
    <row r="187" spans="2:12" ht="43.2">
      <c r="B187" s="764" t="s">
        <v>198</v>
      </c>
      <c r="C187" s="764" t="s">
        <v>42</v>
      </c>
      <c r="D187" s="764" t="s">
        <v>198</v>
      </c>
      <c r="E187" s="764" t="s">
        <v>205</v>
      </c>
      <c r="F187" s="775">
        <v>2015</v>
      </c>
      <c r="G187" s="764" t="s">
        <v>200</v>
      </c>
      <c r="H187" s="765" cm="1">
        <f t="array" ref="H187">_xlfn.XLOOKUP(E187&amp;F187&amp;G187,'2.1 Electricidad'!$B$10:$B$138&amp;'2.1 Electricidad'!$C$10:$C$138&amp;'2.1 Electricidad'!$D$10:$D$138,'2.1 Electricidad'!$E$10:$E$138,"-")</f>
        <v>300.58332999999999</v>
      </c>
      <c r="I187" s="764" t="str" cm="1">
        <f t="array" ref="I187">_xlfn.XLOOKUP(E187&amp;F187&amp;G187,'2.1 Electricidad'!$B$10:$B$138&amp;'2.1 Electricidad'!$C$10:$C$138&amp;'2.1 Electricidad'!$D$10:$D$138,'2.1 Electricidad'!$F$10:$F$138,"-")</f>
        <v>kgCO2e/MWh</v>
      </c>
      <c r="J187" s="764" t="str" cm="1">
        <f t="array" ref="J187">_xlfn.XLOOKUP(E187&amp;F187&amp;G187,'2.1 Electricidad'!$B$10:$B$138&amp;'2.1 Electricidad'!$C$10:$C$138&amp;'2.1 Electricidad'!$D$10:$D$138,'2.1 Electricidad'!$G$10:$G$138,"-")</f>
        <v>Energía Abierta (http://energiaabierta.cl/categorias-estadistica/sustentabilidad/)</v>
      </c>
      <c r="K187" s="764" t="s">
        <v>102</v>
      </c>
      <c r="L187" s="768" t="s">
        <v>102</v>
      </c>
    </row>
    <row r="188" spans="2:12" ht="43.2">
      <c r="B188" s="764" t="s">
        <v>198</v>
      </c>
      <c r="C188" s="764" t="s">
        <v>42</v>
      </c>
      <c r="D188" s="764" t="s">
        <v>198</v>
      </c>
      <c r="E188" s="764" t="s">
        <v>205</v>
      </c>
      <c r="F188" s="775">
        <v>2015</v>
      </c>
      <c r="G188" s="764" t="s">
        <v>201</v>
      </c>
      <c r="H188" s="774" cm="1">
        <f t="array" ref="H188">_xlfn.XLOOKUP(E188&amp;F188&amp;G188,'2.1 Electricidad'!$B$10:$B$138&amp;'2.1 Electricidad'!$C$10:$C$138&amp;'2.1 Electricidad'!$D$10:$D$138,'2.1 Electricidad'!$E$10:$E$138,"-")</f>
        <v>300583.33</v>
      </c>
      <c r="I188" s="764" t="str" cm="1">
        <f t="array" ref="I188">_xlfn.XLOOKUP(E188&amp;F188&amp;G188,'2.1 Electricidad'!$B$10:$B$138&amp;'2.1 Electricidad'!$C$10:$C$138&amp;'2.1 Electricidad'!$D$10:$D$138,'2.1 Electricidad'!$F$10:$F$138,"-")</f>
        <v>kgCO2e/GWh</v>
      </c>
      <c r="J188" s="764" t="str" cm="1">
        <f t="array" ref="J188">_xlfn.XLOOKUP(E188&amp;F188&amp;G188,'2.1 Electricidad'!$B$10:$B$138&amp;'2.1 Electricidad'!$C$10:$C$138&amp;'2.1 Electricidad'!$D$10:$D$138,'2.1 Electricidad'!$G$10:$G$138,"-")</f>
        <v>Energía Abierta (http://energiaabierta.cl/categorias-estadistica/sustentabilidad/)</v>
      </c>
      <c r="K188" s="764" t="s">
        <v>102</v>
      </c>
      <c r="L188" s="768" t="s">
        <v>102</v>
      </c>
    </row>
    <row r="189" spans="2:12" ht="43.2">
      <c r="B189" s="764" t="s">
        <v>198</v>
      </c>
      <c r="C189" s="764" t="s">
        <v>42</v>
      </c>
      <c r="D189" s="764" t="s">
        <v>198</v>
      </c>
      <c r="E189" s="764" t="s">
        <v>205</v>
      </c>
      <c r="F189" s="775">
        <v>2015</v>
      </c>
      <c r="G189" s="764" t="s">
        <v>202</v>
      </c>
      <c r="H189" s="765" cm="1">
        <f t="array" ref="H189">_xlfn.XLOOKUP(E189&amp;F189&amp;G189,'2.1 Electricidad'!$B$10:$B$138&amp;'2.1 Electricidad'!$C$10:$C$138&amp;'2.1 Electricidad'!$D$10:$D$138,'2.1 Electricidad'!$E$10:$E$138,"-")</f>
        <v>0.30058332999999998</v>
      </c>
      <c r="I189" s="764" t="str" cm="1">
        <f t="array" ref="I189">_xlfn.XLOOKUP(E189&amp;F189&amp;G189,'2.1 Electricidad'!$B$10:$B$138&amp;'2.1 Electricidad'!$C$10:$C$138&amp;'2.1 Electricidad'!$D$10:$D$138,'2.1 Electricidad'!$F$10:$F$138,"-")</f>
        <v>kgCO2e/kWh</v>
      </c>
      <c r="J189" s="764" t="str" cm="1">
        <f t="array" ref="J189">_xlfn.XLOOKUP(E189&amp;F189&amp;G189,'2.1 Electricidad'!$B$10:$B$138&amp;'2.1 Electricidad'!$C$10:$C$138&amp;'2.1 Electricidad'!$D$10:$D$138,'2.1 Electricidad'!$G$10:$G$138,"-")</f>
        <v>Energía Abierta (http://energiaabierta.cl/categorias-estadistica/sustentabilidad/)</v>
      </c>
      <c r="K189" s="764" t="s">
        <v>102</v>
      </c>
      <c r="L189" s="768" t="s">
        <v>102</v>
      </c>
    </row>
    <row r="190" spans="2:12" ht="43.2">
      <c r="B190" s="764" t="s">
        <v>198</v>
      </c>
      <c r="C190" s="764" t="s">
        <v>42</v>
      </c>
      <c r="D190" s="764" t="s">
        <v>198</v>
      </c>
      <c r="E190" s="764" t="s">
        <v>205</v>
      </c>
      <c r="F190" s="775">
        <v>2016</v>
      </c>
      <c r="G190" s="764" t="s">
        <v>200</v>
      </c>
      <c r="H190" s="765" cm="1">
        <f t="array" ref="H190">_xlfn.XLOOKUP(E190&amp;F190&amp;G190,'2.1 Electricidad'!$B$10:$B$138&amp;'2.1 Electricidad'!$C$10:$C$138&amp;'2.1 Electricidad'!$D$10:$D$138,'2.1 Electricidad'!$E$10:$E$138,"-")</f>
        <v>402.66667000000001</v>
      </c>
      <c r="I190" s="764" t="str" cm="1">
        <f t="array" ref="I190">_xlfn.XLOOKUP(E190&amp;F190&amp;G190,'2.1 Electricidad'!$B$10:$B$138&amp;'2.1 Electricidad'!$C$10:$C$138&amp;'2.1 Electricidad'!$D$10:$D$138,'2.1 Electricidad'!$F$10:$F$138,"-")</f>
        <v>kgCO2e/MWh</v>
      </c>
      <c r="J190" s="764" t="str" cm="1">
        <f t="array" ref="J190">_xlfn.XLOOKUP(E190&amp;F190&amp;G190,'2.1 Electricidad'!$B$10:$B$138&amp;'2.1 Electricidad'!$C$10:$C$138&amp;'2.1 Electricidad'!$D$10:$D$138,'2.1 Electricidad'!$G$10:$G$138,"-")</f>
        <v>Energía Abierta (http://energiaabierta.cl/categorias-estadistica/sustentabilidad/)</v>
      </c>
      <c r="K190" s="764" t="s">
        <v>102</v>
      </c>
      <c r="L190" s="768" t="s">
        <v>102</v>
      </c>
    </row>
    <row r="191" spans="2:12" ht="43.2">
      <c r="B191" s="764" t="s">
        <v>198</v>
      </c>
      <c r="C191" s="764" t="s">
        <v>42</v>
      </c>
      <c r="D191" s="764" t="s">
        <v>198</v>
      </c>
      <c r="E191" s="764" t="s">
        <v>205</v>
      </c>
      <c r="F191" s="775">
        <v>2016</v>
      </c>
      <c r="G191" s="764" t="s">
        <v>201</v>
      </c>
      <c r="H191" s="774" cm="1">
        <f t="array" ref="H191">_xlfn.XLOOKUP(E191&amp;F191&amp;G191,'2.1 Electricidad'!$B$10:$B$138&amp;'2.1 Electricidad'!$C$10:$C$138&amp;'2.1 Electricidad'!$D$10:$D$138,'2.1 Electricidad'!$E$10:$E$138,"-")</f>
        <v>402666.67</v>
      </c>
      <c r="I191" s="764" t="str" cm="1">
        <f t="array" ref="I191">_xlfn.XLOOKUP(E191&amp;F191&amp;G191,'2.1 Electricidad'!$B$10:$B$138&amp;'2.1 Electricidad'!$C$10:$C$138&amp;'2.1 Electricidad'!$D$10:$D$138,'2.1 Electricidad'!$F$10:$F$138,"-")</f>
        <v>kgCO2e/GWh</v>
      </c>
      <c r="J191" s="764" t="str" cm="1">
        <f t="array" ref="J191">_xlfn.XLOOKUP(E191&amp;F191&amp;G191,'2.1 Electricidad'!$B$10:$B$138&amp;'2.1 Electricidad'!$C$10:$C$138&amp;'2.1 Electricidad'!$D$10:$D$138,'2.1 Electricidad'!$G$10:$G$138,"-")</f>
        <v>Energía Abierta (http://energiaabierta.cl/categorias-estadistica/sustentabilidad/)</v>
      </c>
      <c r="K191" s="764" t="s">
        <v>102</v>
      </c>
      <c r="L191" s="768" t="s">
        <v>102</v>
      </c>
    </row>
    <row r="192" spans="2:12" ht="43.2">
      <c r="B192" s="764" t="s">
        <v>198</v>
      </c>
      <c r="C192" s="764" t="s">
        <v>42</v>
      </c>
      <c r="D192" s="764" t="s">
        <v>198</v>
      </c>
      <c r="E192" s="764" t="s">
        <v>205</v>
      </c>
      <c r="F192" s="775">
        <v>2016</v>
      </c>
      <c r="G192" s="764" t="s">
        <v>202</v>
      </c>
      <c r="H192" s="765" cm="1">
        <f t="array" ref="H192">_xlfn.XLOOKUP(E192&amp;F192&amp;G192,'2.1 Electricidad'!$B$10:$B$138&amp;'2.1 Electricidad'!$C$10:$C$138&amp;'2.1 Electricidad'!$D$10:$D$138,'2.1 Electricidad'!$E$10:$E$138,"-")</f>
        <v>0.40266667</v>
      </c>
      <c r="I192" s="764" t="str" cm="1">
        <f t="array" ref="I192">_xlfn.XLOOKUP(E192&amp;F192&amp;G192,'2.1 Electricidad'!$B$10:$B$138&amp;'2.1 Electricidad'!$C$10:$C$138&amp;'2.1 Electricidad'!$D$10:$D$138,'2.1 Electricidad'!$F$10:$F$138,"-")</f>
        <v>kgCO2e/kWh</v>
      </c>
      <c r="J192" s="764" t="str" cm="1">
        <f t="array" ref="J192">_xlfn.XLOOKUP(E192&amp;F192&amp;G192,'2.1 Electricidad'!$B$10:$B$138&amp;'2.1 Electricidad'!$C$10:$C$138&amp;'2.1 Electricidad'!$D$10:$D$138,'2.1 Electricidad'!$G$10:$G$138,"-")</f>
        <v>Energía Abierta (http://energiaabierta.cl/categorias-estadistica/sustentabilidad/)</v>
      </c>
      <c r="K192" s="764" t="s">
        <v>102</v>
      </c>
      <c r="L192" s="768" t="s">
        <v>102</v>
      </c>
    </row>
    <row r="193" spans="2:12" ht="43.2">
      <c r="B193" s="764" t="s">
        <v>198</v>
      </c>
      <c r="C193" s="764" t="s">
        <v>42</v>
      </c>
      <c r="D193" s="764" t="s">
        <v>198</v>
      </c>
      <c r="E193" s="764" t="s">
        <v>205</v>
      </c>
      <c r="F193" s="775">
        <v>2017</v>
      </c>
      <c r="G193" s="764" t="s">
        <v>200</v>
      </c>
      <c r="H193" s="765" cm="1">
        <f t="array" ref="H193">_xlfn.XLOOKUP(E193&amp;F193&amp;G193,'2.1 Electricidad'!$B$10:$B$138&amp;'2.1 Electricidad'!$C$10:$C$138&amp;'2.1 Electricidad'!$D$10:$D$138,'2.1 Electricidad'!$E$10:$E$138,"-")</f>
        <v>194</v>
      </c>
      <c r="I193" s="764" t="str" cm="1">
        <f t="array" ref="I193">_xlfn.XLOOKUP(E193&amp;F193&amp;G193,'2.1 Electricidad'!$B$10:$B$138&amp;'2.1 Electricidad'!$C$10:$C$138&amp;'2.1 Electricidad'!$D$10:$D$138,'2.1 Electricidad'!$F$10:$F$138,"-")</f>
        <v>kgCO2e/MWh</v>
      </c>
      <c r="J193" s="764" t="str" cm="1">
        <f t="array" ref="J193">_xlfn.XLOOKUP(E193&amp;F193&amp;G193,'2.1 Electricidad'!$B$10:$B$138&amp;'2.1 Electricidad'!$C$10:$C$138&amp;'2.1 Electricidad'!$D$10:$D$138,'2.1 Electricidad'!$G$10:$G$138,"-")</f>
        <v>Energía Abierta (http://energiaabierta.cl/categorias-estadistica/sustentabilidad/)</v>
      </c>
      <c r="K193" s="764" t="s">
        <v>102</v>
      </c>
      <c r="L193" s="768" t="s">
        <v>102</v>
      </c>
    </row>
    <row r="194" spans="2:12" ht="43.2">
      <c r="B194" s="764" t="s">
        <v>198</v>
      </c>
      <c r="C194" s="764" t="s">
        <v>42</v>
      </c>
      <c r="D194" s="764" t="s">
        <v>198</v>
      </c>
      <c r="E194" s="764" t="s">
        <v>205</v>
      </c>
      <c r="F194" s="775">
        <v>2017</v>
      </c>
      <c r="G194" s="764" t="s">
        <v>201</v>
      </c>
      <c r="H194" s="774" cm="1">
        <f t="array" ref="H194">_xlfn.XLOOKUP(E194&amp;F194&amp;G194,'2.1 Electricidad'!$B$10:$B$138&amp;'2.1 Electricidad'!$C$10:$C$138&amp;'2.1 Electricidad'!$D$10:$D$138,'2.1 Electricidad'!$E$10:$E$138,"-")</f>
        <v>194000</v>
      </c>
      <c r="I194" s="764" t="str" cm="1">
        <f t="array" ref="I194">_xlfn.XLOOKUP(E194&amp;F194&amp;G194,'2.1 Electricidad'!$B$10:$B$138&amp;'2.1 Electricidad'!$C$10:$C$138&amp;'2.1 Electricidad'!$D$10:$D$138,'2.1 Electricidad'!$F$10:$F$138,"-")</f>
        <v>kgCO2e/GWh</v>
      </c>
      <c r="J194" s="764" t="str" cm="1">
        <f t="array" ref="J194">_xlfn.XLOOKUP(E194&amp;F194&amp;G194,'2.1 Electricidad'!$B$10:$B$138&amp;'2.1 Electricidad'!$C$10:$C$138&amp;'2.1 Electricidad'!$D$10:$D$138,'2.1 Electricidad'!$G$10:$G$138,"-")</f>
        <v>Energía Abierta (http://energiaabierta.cl/categorias-estadistica/sustentabilidad/)</v>
      </c>
      <c r="K194" s="764" t="s">
        <v>102</v>
      </c>
      <c r="L194" s="768" t="s">
        <v>102</v>
      </c>
    </row>
    <row r="195" spans="2:12" ht="43.2">
      <c r="B195" s="764" t="s">
        <v>198</v>
      </c>
      <c r="C195" s="764" t="s">
        <v>42</v>
      </c>
      <c r="D195" s="764" t="s">
        <v>198</v>
      </c>
      <c r="E195" s="764" t="s">
        <v>205</v>
      </c>
      <c r="F195" s="775">
        <v>2017</v>
      </c>
      <c r="G195" s="764" t="s">
        <v>202</v>
      </c>
      <c r="H195" s="765" cm="1">
        <f t="array" ref="H195">_xlfn.XLOOKUP(E195&amp;F195&amp;G195,'2.1 Electricidad'!$B$10:$B$138&amp;'2.1 Electricidad'!$C$10:$C$138&amp;'2.1 Electricidad'!$D$10:$D$138,'2.1 Electricidad'!$E$10:$E$138,"-")</f>
        <v>0.19400000000000001</v>
      </c>
      <c r="I195" s="764" t="str" cm="1">
        <f t="array" ref="I195">_xlfn.XLOOKUP(E195&amp;F195&amp;G195,'2.1 Electricidad'!$B$10:$B$138&amp;'2.1 Electricidad'!$C$10:$C$138&amp;'2.1 Electricidad'!$D$10:$D$138,'2.1 Electricidad'!$F$10:$F$138,"-")</f>
        <v>kgCO2e/kWh</v>
      </c>
      <c r="J195" s="764" t="str" cm="1">
        <f t="array" ref="J195">_xlfn.XLOOKUP(E195&amp;F195&amp;G195,'2.1 Electricidad'!$B$10:$B$138&amp;'2.1 Electricidad'!$C$10:$C$138&amp;'2.1 Electricidad'!$D$10:$D$138,'2.1 Electricidad'!$G$10:$G$138,"-")</f>
        <v>Energía Abierta (http://energiaabierta.cl/categorias-estadistica/sustentabilidad/)</v>
      </c>
      <c r="K195" s="764" t="s">
        <v>102</v>
      </c>
      <c r="L195" s="768" t="s">
        <v>102</v>
      </c>
    </row>
    <row r="196" spans="2:12" ht="43.2">
      <c r="B196" s="764" t="s">
        <v>198</v>
      </c>
      <c r="C196" s="764" t="s">
        <v>42</v>
      </c>
      <c r="D196" s="764" t="s">
        <v>198</v>
      </c>
      <c r="E196" s="764" t="s">
        <v>205</v>
      </c>
      <c r="F196" s="775">
        <v>2018</v>
      </c>
      <c r="G196" s="764" t="s">
        <v>200</v>
      </c>
      <c r="H196" s="765" cm="1">
        <f t="array" ref="H196">_xlfn.XLOOKUP(E196&amp;F196&amp;G196,'2.1 Electricidad'!$B$10:$B$138&amp;'2.1 Electricidad'!$C$10:$C$138&amp;'2.1 Electricidad'!$D$10:$D$138,'2.1 Electricidad'!$E$10:$E$138,"-")</f>
        <v>229.16666667000001</v>
      </c>
      <c r="I196" s="764" t="str" cm="1">
        <f t="array" ref="I196">_xlfn.XLOOKUP(E196&amp;F196&amp;G196,'2.1 Electricidad'!$B$10:$B$138&amp;'2.1 Electricidad'!$C$10:$C$138&amp;'2.1 Electricidad'!$D$10:$D$138,'2.1 Electricidad'!$F$10:$F$138,"-")</f>
        <v>kgCO2e/MWh</v>
      </c>
      <c r="J196" s="764" t="str" cm="1">
        <f t="array" ref="J196">_xlfn.XLOOKUP(E196&amp;F196&amp;G196,'2.1 Electricidad'!$B$10:$B$138&amp;'2.1 Electricidad'!$C$10:$C$138&amp;'2.1 Electricidad'!$D$10:$D$138,'2.1 Electricidad'!$G$10:$G$138,"-")</f>
        <v>Energía Abierta (http://energiaabierta.cl/categorias-estadistica/sustentabilidad/)</v>
      </c>
      <c r="K196" s="764" t="s">
        <v>102</v>
      </c>
      <c r="L196" s="768" t="s">
        <v>102</v>
      </c>
    </row>
    <row r="197" spans="2:12" ht="43.2">
      <c r="B197" s="764" t="s">
        <v>198</v>
      </c>
      <c r="C197" s="764" t="s">
        <v>42</v>
      </c>
      <c r="D197" s="764" t="s">
        <v>198</v>
      </c>
      <c r="E197" s="764" t="s">
        <v>205</v>
      </c>
      <c r="F197" s="775">
        <v>2018</v>
      </c>
      <c r="G197" s="764" t="s">
        <v>201</v>
      </c>
      <c r="H197" s="774" cm="1">
        <f t="array" ref="H197">_xlfn.XLOOKUP(E197&amp;F197&amp;G197,'2.1 Electricidad'!$B$10:$B$138&amp;'2.1 Electricidad'!$C$10:$C$138&amp;'2.1 Electricidad'!$D$10:$D$138,'2.1 Electricidad'!$E$10:$E$138,"-")</f>
        <v>229166.66667000001</v>
      </c>
      <c r="I197" s="764" t="str" cm="1">
        <f t="array" ref="I197">_xlfn.XLOOKUP(E197&amp;F197&amp;G197,'2.1 Electricidad'!$B$10:$B$138&amp;'2.1 Electricidad'!$C$10:$C$138&amp;'2.1 Electricidad'!$D$10:$D$138,'2.1 Electricidad'!$F$10:$F$138,"-")</f>
        <v>kgCO2e/GWh</v>
      </c>
      <c r="J197" s="764" t="str" cm="1">
        <f t="array" ref="J197">_xlfn.XLOOKUP(E197&amp;F197&amp;G197,'2.1 Electricidad'!$B$10:$B$138&amp;'2.1 Electricidad'!$C$10:$C$138&amp;'2.1 Electricidad'!$D$10:$D$138,'2.1 Electricidad'!$G$10:$G$138,"-")</f>
        <v>Energía Abierta (http://energiaabierta.cl/categorias-estadistica/sustentabilidad/)</v>
      </c>
      <c r="K197" s="764" t="s">
        <v>102</v>
      </c>
      <c r="L197" s="768" t="s">
        <v>102</v>
      </c>
    </row>
    <row r="198" spans="2:12" ht="43.2">
      <c r="B198" s="764" t="s">
        <v>198</v>
      </c>
      <c r="C198" s="764" t="s">
        <v>42</v>
      </c>
      <c r="D198" s="764" t="s">
        <v>198</v>
      </c>
      <c r="E198" s="764" t="s">
        <v>205</v>
      </c>
      <c r="F198" s="775">
        <v>2018</v>
      </c>
      <c r="G198" s="764" t="s">
        <v>202</v>
      </c>
      <c r="H198" s="765" cm="1">
        <f t="array" ref="H198">_xlfn.XLOOKUP(E198&amp;F198&amp;G198,'2.1 Electricidad'!$B$10:$B$138&amp;'2.1 Electricidad'!$C$10:$C$138&amp;'2.1 Electricidad'!$D$10:$D$138,'2.1 Electricidad'!$E$10:$E$138,"-")</f>
        <v>0.22916666667000002</v>
      </c>
      <c r="I198" s="764" t="str" cm="1">
        <f t="array" ref="I198">_xlfn.XLOOKUP(E198&amp;F198&amp;G198,'2.1 Electricidad'!$B$10:$B$138&amp;'2.1 Electricidad'!$C$10:$C$138&amp;'2.1 Electricidad'!$D$10:$D$138,'2.1 Electricidad'!$F$10:$F$138,"-")</f>
        <v>kgCO2e/kWh</v>
      </c>
      <c r="J198" s="764" t="str" cm="1">
        <f t="array" ref="J198">_xlfn.XLOOKUP(E198&amp;F198&amp;G198,'2.1 Electricidad'!$B$10:$B$138&amp;'2.1 Electricidad'!$C$10:$C$138&amp;'2.1 Electricidad'!$D$10:$D$138,'2.1 Electricidad'!$G$10:$G$138,"-")</f>
        <v>Energía Abierta (http://energiaabierta.cl/categorias-estadistica/sustentabilidad/)</v>
      </c>
      <c r="K198" s="764" t="s">
        <v>102</v>
      </c>
      <c r="L198" s="768" t="s">
        <v>102</v>
      </c>
    </row>
    <row r="199" spans="2:12" ht="43.2">
      <c r="B199" s="764" t="s">
        <v>198</v>
      </c>
      <c r="C199" s="764" t="s">
        <v>42</v>
      </c>
      <c r="D199" s="764" t="s">
        <v>198</v>
      </c>
      <c r="E199" s="764" t="s">
        <v>205</v>
      </c>
      <c r="F199" s="775">
        <v>2019</v>
      </c>
      <c r="G199" s="764" t="s">
        <v>200</v>
      </c>
      <c r="H199" s="765" cm="1">
        <f t="array" ref="H199">_xlfn.XLOOKUP(E199&amp;F199&amp;G199,'2.1 Electricidad'!$B$10:$B$138&amp;'2.1 Electricidad'!$C$10:$C$138&amp;'2.1 Electricidad'!$D$10:$D$138,'2.1 Electricidad'!$E$10:$E$138,"-")</f>
        <v>311.16666666999998</v>
      </c>
      <c r="I199" s="764" t="str" cm="1">
        <f t="array" ref="I199">_xlfn.XLOOKUP(E199&amp;F199&amp;G199,'2.1 Electricidad'!$B$10:$B$138&amp;'2.1 Electricidad'!$C$10:$C$138&amp;'2.1 Electricidad'!$D$10:$D$138,'2.1 Electricidad'!$F$10:$F$138,"-")</f>
        <v>kgCO2e/MWh</v>
      </c>
      <c r="J199" s="764" t="str" cm="1">
        <f t="array" ref="J199">_xlfn.XLOOKUP(E199&amp;F199&amp;G199,'2.1 Electricidad'!$B$10:$B$138&amp;'2.1 Electricidad'!$C$10:$C$138&amp;'2.1 Electricidad'!$D$10:$D$138,'2.1 Electricidad'!$G$10:$G$138,"-")</f>
        <v>Energía Abierta (http://energiaabierta.cl/categorias-estadistica/sustentabilidad/)</v>
      </c>
      <c r="K199" s="764" t="s">
        <v>102</v>
      </c>
      <c r="L199" s="768" t="s">
        <v>102</v>
      </c>
    </row>
    <row r="200" spans="2:12" ht="43.2">
      <c r="B200" s="764" t="s">
        <v>198</v>
      </c>
      <c r="C200" s="764" t="s">
        <v>42</v>
      </c>
      <c r="D200" s="764" t="s">
        <v>198</v>
      </c>
      <c r="E200" s="764" t="s">
        <v>205</v>
      </c>
      <c r="F200" s="775">
        <v>2019</v>
      </c>
      <c r="G200" s="764" t="s">
        <v>201</v>
      </c>
      <c r="H200" s="774" cm="1">
        <f t="array" ref="H200">_xlfn.XLOOKUP(E200&amp;F200&amp;G200,'2.1 Electricidad'!$B$10:$B$138&amp;'2.1 Electricidad'!$C$10:$C$138&amp;'2.1 Electricidad'!$D$10:$D$138,'2.1 Electricidad'!$E$10:$E$138,"-")</f>
        <v>311166.66667000001</v>
      </c>
      <c r="I200" s="764" t="str" cm="1">
        <f t="array" ref="I200">_xlfn.XLOOKUP(E200&amp;F200&amp;G200,'2.1 Electricidad'!$B$10:$B$138&amp;'2.1 Electricidad'!$C$10:$C$138&amp;'2.1 Electricidad'!$D$10:$D$138,'2.1 Electricidad'!$F$10:$F$138,"-")</f>
        <v>kgCO2e/GWh</v>
      </c>
      <c r="J200" s="764" t="str" cm="1">
        <f t="array" ref="J200">_xlfn.XLOOKUP(E200&amp;F200&amp;G200,'2.1 Electricidad'!$B$10:$B$138&amp;'2.1 Electricidad'!$C$10:$C$138&amp;'2.1 Electricidad'!$D$10:$D$138,'2.1 Electricidad'!$G$10:$G$138,"-")</f>
        <v>Energía Abierta (http://energiaabierta.cl/categorias-estadistica/sustentabilidad/)</v>
      </c>
      <c r="K200" s="764" t="s">
        <v>102</v>
      </c>
      <c r="L200" s="768" t="s">
        <v>102</v>
      </c>
    </row>
    <row r="201" spans="2:12" ht="43.2">
      <c r="B201" s="764" t="s">
        <v>198</v>
      </c>
      <c r="C201" s="764" t="s">
        <v>42</v>
      </c>
      <c r="D201" s="764" t="s">
        <v>198</v>
      </c>
      <c r="E201" s="764" t="s">
        <v>205</v>
      </c>
      <c r="F201" s="775">
        <v>2019</v>
      </c>
      <c r="G201" s="764" t="s">
        <v>202</v>
      </c>
      <c r="H201" s="765" cm="1">
        <f t="array" ref="H201">_xlfn.XLOOKUP(E201&amp;F201&amp;G201,'2.1 Electricidad'!$B$10:$B$138&amp;'2.1 Electricidad'!$C$10:$C$138&amp;'2.1 Electricidad'!$D$10:$D$138,'2.1 Electricidad'!$E$10:$E$138,"-")</f>
        <v>0.31116666666999998</v>
      </c>
      <c r="I201" s="764" t="str" cm="1">
        <f t="array" ref="I201">_xlfn.XLOOKUP(E201&amp;F201&amp;G201,'2.1 Electricidad'!$B$10:$B$138&amp;'2.1 Electricidad'!$C$10:$C$138&amp;'2.1 Electricidad'!$D$10:$D$138,'2.1 Electricidad'!$F$10:$F$138,"-")</f>
        <v>kgCO2e/kWh</v>
      </c>
      <c r="J201" s="764" t="str" cm="1">
        <f t="array" ref="J201">_xlfn.XLOOKUP(E201&amp;F201&amp;G201,'2.1 Electricidad'!$B$10:$B$138&amp;'2.1 Electricidad'!$C$10:$C$138&amp;'2.1 Electricidad'!$D$10:$D$138,'2.1 Electricidad'!$G$10:$G$138,"-")</f>
        <v>Energía Abierta (http://energiaabierta.cl/categorias-estadistica/sustentabilidad/)</v>
      </c>
      <c r="K201" s="764" t="s">
        <v>102</v>
      </c>
      <c r="L201" s="768" t="s">
        <v>102</v>
      </c>
    </row>
    <row r="202" spans="2:12" ht="43.2">
      <c r="B202" s="764" t="s">
        <v>198</v>
      </c>
      <c r="C202" s="764" t="s">
        <v>42</v>
      </c>
      <c r="D202" s="764" t="s">
        <v>198</v>
      </c>
      <c r="E202" s="764" t="s">
        <v>205</v>
      </c>
      <c r="F202" s="775">
        <v>2020</v>
      </c>
      <c r="G202" s="764" t="s">
        <v>200</v>
      </c>
      <c r="H202" s="765" cm="1">
        <f t="array" ref="H202">_xlfn.XLOOKUP(E202&amp;F202&amp;G202,'2.1 Electricidad'!$B$10:$B$138&amp;'2.1 Electricidad'!$C$10:$C$138&amp;'2.1 Electricidad'!$D$10:$D$138,'2.1 Electricidad'!$E$10:$E$138,"-")</f>
        <v>308.08333333000002</v>
      </c>
      <c r="I202" s="764" t="str" cm="1">
        <f t="array" ref="I202">_xlfn.XLOOKUP(E202&amp;F202&amp;G202,'2.1 Electricidad'!$B$10:$B$138&amp;'2.1 Electricidad'!$C$10:$C$138&amp;'2.1 Electricidad'!$D$10:$D$138,'2.1 Electricidad'!$F$10:$F$138,"-")</f>
        <v>kgCO2e/MWh</v>
      </c>
      <c r="J202" s="764" t="str" cm="1">
        <f t="array" ref="J202">_xlfn.XLOOKUP(E202&amp;F202&amp;G202,'2.1 Electricidad'!$B$10:$B$138&amp;'2.1 Electricidad'!$C$10:$C$138&amp;'2.1 Electricidad'!$D$10:$D$138,'2.1 Electricidad'!$G$10:$G$138,"-")</f>
        <v>Energía Abierta (http://energiaabierta.cl/categorias-estadistica/sustentabilidad/)</v>
      </c>
      <c r="K202" s="764" t="s">
        <v>102</v>
      </c>
      <c r="L202" s="768" t="s">
        <v>102</v>
      </c>
    </row>
    <row r="203" spans="2:12" ht="43.2">
      <c r="B203" s="764" t="s">
        <v>198</v>
      </c>
      <c r="C203" s="764" t="s">
        <v>42</v>
      </c>
      <c r="D203" s="764" t="s">
        <v>198</v>
      </c>
      <c r="E203" s="764" t="s">
        <v>205</v>
      </c>
      <c r="F203" s="775">
        <v>2020</v>
      </c>
      <c r="G203" s="764" t="s">
        <v>201</v>
      </c>
      <c r="H203" s="774" cm="1">
        <f t="array" ref="H203">_xlfn.XLOOKUP(E203&amp;F203&amp;G203,'2.1 Electricidad'!$B$10:$B$138&amp;'2.1 Electricidad'!$C$10:$C$138&amp;'2.1 Electricidad'!$D$10:$D$138,'2.1 Electricidad'!$E$10:$E$138,"-")</f>
        <v>308083.33332999999</v>
      </c>
      <c r="I203" s="764" t="str" cm="1">
        <f t="array" ref="I203">_xlfn.XLOOKUP(E203&amp;F203&amp;G203,'2.1 Electricidad'!$B$10:$B$138&amp;'2.1 Electricidad'!$C$10:$C$138&amp;'2.1 Electricidad'!$D$10:$D$138,'2.1 Electricidad'!$F$10:$F$138,"-")</f>
        <v>kgCO2e/GWh</v>
      </c>
      <c r="J203" s="764" t="str" cm="1">
        <f t="array" ref="J203">_xlfn.XLOOKUP(E203&amp;F203&amp;G203,'2.1 Electricidad'!$B$10:$B$138&amp;'2.1 Electricidad'!$C$10:$C$138&amp;'2.1 Electricidad'!$D$10:$D$138,'2.1 Electricidad'!$G$10:$G$138,"-")</f>
        <v>Energía Abierta (http://energiaabierta.cl/categorias-estadistica/sustentabilidad/)</v>
      </c>
      <c r="K203" s="764" t="s">
        <v>102</v>
      </c>
      <c r="L203" s="768" t="s">
        <v>102</v>
      </c>
    </row>
    <row r="204" spans="2:12" ht="43.2">
      <c r="B204" s="764" t="s">
        <v>198</v>
      </c>
      <c r="C204" s="764" t="s">
        <v>42</v>
      </c>
      <c r="D204" s="764" t="s">
        <v>198</v>
      </c>
      <c r="E204" s="764" t="s">
        <v>205</v>
      </c>
      <c r="F204" s="775">
        <v>2020</v>
      </c>
      <c r="G204" s="764" t="s">
        <v>202</v>
      </c>
      <c r="H204" s="765" cm="1">
        <f t="array" ref="H204">_xlfn.XLOOKUP(E204&amp;F204&amp;G204,'2.1 Electricidad'!$B$10:$B$138&amp;'2.1 Electricidad'!$C$10:$C$138&amp;'2.1 Electricidad'!$D$10:$D$138,'2.1 Electricidad'!$E$10:$E$138,"-")</f>
        <v>0.30808333333000004</v>
      </c>
      <c r="I204" s="764" t="str" cm="1">
        <f t="array" ref="I204">_xlfn.XLOOKUP(E204&amp;F204&amp;G204,'2.1 Electricidad'!$B$10:$B$138&amp;'2.1 Electricidad'!$C$10:$C$138&amp;'2.1 Electricidad'!$D$10:$D$138,'2.1 Electricidad'!$F$10:$F$138,"-")</f>
        <v>kgCO2e/kWh</v>
      </c>
      <c r="J204" s="764" t="str" cm="1">
        <f t="array" ref="J204">_xlfn.XLOOKUP(E204&amp;F204&amp;G204,'2.1 Electricidad'!$B$10:$B$138&amp;'2.1 Electricidad'!$C$10:$C$138&amp;'2.1 Electricidad'!$D$10:$D$138,'2.1 Electricidad'!$G$10:$G$138,"-")</f>
        <v>Energía Abierta (http://energiaabierta.cl/categorias-estadistica/sustentabilidad/)</v>
      </c>
      <c r="K204" s="764" t="s">
        <v>102</v>
      </c>
      <c r="L204" s="768" t="s">
        <v>102</v>
      </c>
    </row>
    <row r="205" spans="2:12" ht="43.2">
      <c r="B205" s="764" t="s">
        <v>198</v>
      </c>
      <c r="C205" s="764" t="s">
        <v>42</v>
      </c>
      <c r="D205" s="764" t="s">
        <v>198</v>
      </c>
      <c r="E205" s="764" t="s">
        <v>205</v>
      </c>
      <c r="F205" s="775">
        <v>2021</v>
      </c>
      <c r="G205" s="764" t="s">
        <v>200</v>
      </c>
      <c r="H205" s="765" cm="1">
        <f t="array" ref="H205">_xlfn.XLOOKUP(E205&amp;F205&amp;G205,'2.1 Electricidad'!$B$10:$B$138&amp;'2.1 Electricidad'!$C$10:$C$138&amp;'2.1 Electricidad'!$D$10:$D$138,'2.1 Electricidad'!$E$10:$E$138,"-")</f>
        <v>372.25</v>
      </c>
      <c r="I205" s="764" t="str" cm="1">
        <f t="array" ref="I205">_xlfn.XLOOKUP(E205&amp;F205&amp;G205,'2.1 Electricidad'!$B$10:$B$138&amp;'2.1 Electricidad'!$C$10:$C$138&amp;'2.1 Electricidad'!$D$10:$D$138,'2.1 Electricidad'!$F$10:$F$138,"-")</f>
        <v>kgCO2e/MWh</v>
      </c>
      <c r="J205" s="764" t="str" cm="1">
        <f t="array" ref="J205">_xlfn.XLOOKUP(E205&amp;F205&amp;G205,'2.1 Electricidad'!$B$10:$B$138&amp;'2.1 Electricidad'!$C$10:$C$138&amp;'2.1 Electricidad'!$D$10:$D$138,'2.1 Electricidad'!$G$10:$G$138,"-")</f>
        <v>Energía Abierta (http://energiaabierta.cl/categorias-estadistica/sustentabilidad/)</v>
      </c>
      <c r="K205" s="764" t="s">
        <v>102</v>
      </c>
      <c r="L205" s="768" t="s">
        <v>102</v>
      </c>
    </row>
    <row r="206" spans="2:12" ht="43.2">
      <c r="B206" s="764" t="s">
        <v>198</v>
      </c>
      <c r="C206" s="764" t="s">
        <v>42</v>
      </c>
      <c r="D206" s="764" t="s">
        <v>198</v>
      </c>
      <c r="E206" s="764" t="s">
        <v>205</v>
      </c>
      <c r="F206" s="775">
        <v>2021</v>
      </c>
      <c r="G206" s="764" t="s">
        <v>201</v>
      </c>
      <c r="H206" s="774" cm="1">
        <f t="array" ref="H206">_xlfn.XLOOKUP(E206&amp;F206&amp;G206,'2.1 Electricidad'!$B$10:$B$138&amp;'2.1 Electricidad'!$C$10:$C$138&amp;'2.1 Electricidad'!$D$10:$D$138,'2.1 Electricidad'!$E$10:$E$138,"-")</f>
        <v>372250</v>
      </c>
      <c r="I206" s="764" t="str" cm="1">
        <f t="array" ref="I206">_xlfn.XLOOKUP(E206&amp;F206&amp;G206,'2.1 Electricidad'!$B$10:$B$138&amp;'2.1 Electricidad'!$C$10:$C$138&amp;'2.1 Electricidad'!$D$10:$D$138,'2.1 Electricidad'!$F$10:$F$138,"-")</f>
        <v>kgCO2e/GWh</v>
      </c>
      <c r="J206" s="764" t="str" cm="1">
        <f t="array" ref="J206">_xlfn.XLOOKUP(E206&amp;F206&amp;G206,'2.1 Electricidad'!$B$10:$B$138&amp;'2.1 Electricidad'!$C$10:$C$138&amp;'2.1 Electricidad'!$D$10:$D$138,'2.1 Electricidad'!$G$10:$G$138,"-")</f>
        <v>Energía Abierta (http://energiaabierta.cl/categorias-estadistica/sustentabilidad/)</v>
      </c>
      <c r="K206" s="764" t="s">
        <v>102</v>
      </c>
      <c r="L206" s="768" t="s">
        <v>102</v>
      </c>
    </row>
    <row r="207" spans="2:12" ht="43.2">
      <c r="B207" s="764" t="s">
        <v>198</v>
      </c>
      <c r="C207" s="764" t="s">
        <v>42</v>
      </c>
      <c r="D207" s="764" t="s">
        <v>198</v>
      </c>
      <c r="E207" s="764" t="s">
        <v>205</v>
      </c>
      <c r="F207" s="775">
        <v>2021</v>
      </c>
      <c r="G207" s="764" t="s">
        <v>202</v>
      </c>
      <c r="H207" s="765" cm="1">
        <f t="array" ref="H207">_xlfn.XLOOKUP(E207&amp;F207&amp;G207,'2.1 Electricidad'!$B$10:$B$138&amp;'2.1 Electricidad'!$C$10:$C$138&amp;'2.1 Electricidad'!$D$10:$D$138,'2.1 Electricidad'!$E$10:$E$138,"-")</f>
        <v>0.37225000000000003</v>
      </c>
      <c r="I207" s="764" t="str" cm="1">
        <f t="array" ref="I207">_xlfn.XLOOKUP(E207&amp;F207&amp;G207,'2.1 Electricidad'!$B$10:$B$138&amp;'2.1 Electricidad'!$C$10:$C$138&amp;'2.1 Electricidad'!$D$10:$D$138,'2.1 Electricidad'!$F$10:$F$138,"-")</f>
        <v>kgCO2e/kWh</v>
      </c>
      <c r="J207" s="764" t="str" cm="1">
        <f t="array" ref="J207">_xlfn.XLOOKUP(E207&amp;F207&amp;G207,'2.1 Electricidad'!$B$10:$B$138&amp;'2.1 Electricidad'!$C$10:$C$138&amp;'2.1 Electricidad'!$D$10:$D$138,'2.1 Electricidad'!$G$10:$G$138,"-")</f>
        <v>Energía Abierta (http://energiaabierta.cl/categorias-estadistica/sustentabilidad/)</v>
      </c>
      <c r="K207" s="764" t="s">
        <v>102</v>
      </c>
      <c r="L207" s="768" t="s">
        <v>102</v>
      </c>
    </row>
    <row r="208" spans="2:12" ht="43.2">
      <c r="B208" s="764" t="s">
        <v>198</v>
      </c>
      <c r="C208" s="764" t="s">
        <v>42</v>
      </c>
      <c r="D208" s="764" t="s">
        <v>198</v>
      </c>
      <c r="E208" s="764" t="s">
        <v>205</v>
      </c>
      <c r="F208" s="775">
        <v>2022</v>
      </c>
      <c r="G208" s="764" t="s">
        <v>200</v>
      </c>
      <c r="H208" s="765" cm="1">
        <f t="array" ref="H208">_xlfn.XLOOKUP(E208&amp;F208&amp;G208,'2.1 Electricidad'!$B$10:$B$138&amp;'2.1 Electricidad'!$C$10:$C$138&amp;'2.1 Electricidad'!$D$10:$D$138,'2.1 Electricidad'!$E$10:$E$138,"-")</f>
        <v>386.5</v>
      </c>
      <c r="I208" s="764" t="str" cm="1">
        <f t="array" ref="I208">_xlfn.XLOOKUP(E208&amp;F208&amp;G208,'2.1 Electricidad'!$B$10:$B$138&amp;'2.1 Electricidad'!$C$10:$C$138&amp;'2.1 Electricidad'!$D$10:$D$138,'2.1 Electricidad'!$F$10:$F$138,"-")</f>
        <v>kgCO2e/MWh</v>
      </c>
      <c r="J208" s="764" t="str" cm="1">
        <f t="array" ref="J208">_xlfn.XLOOKUP(E208&amp;F208&amp;G208,'2.1 Electricidad'!$B$10:$B$138&amp;'2.1 Electricidad'!$C$10:$C$138&amp;'2.1 Electricidad'!$D$10:$D$138,'2.1 Electricidad'!$G$10:$G$138,"-")</f>
        <v>Energía Abierta (http://energiaabierta.cl/categorias-estadistica/sustentabilidad/)</v>
      </c>
      <c r="K208" s="764" t="s">
        <v>102</v>
      </c>
      <c r="L208" s="768" t="s">
        <v>102</v>
      </c>
    </row>
    <row r="209" spans="2:12" ht="43.2">
      <c r="B209" s="764" t="s">
        <v>198</v>
      </c>
      <c r="C209" s="764" t="s">
        <v>42</v>
      </c>
      <c r="D209" s="764" t="s">
        <v>198</v>
      </c>
      <c r="E209" s="764" t="s">
        <v>205</v>
      </c>
      <c r="F209" s="775">
        <v>2022</v>
      </c>
      <c r="G209" s="764" t="s">
        <v>201</v>
      </c>
      <c r="H209" s="774" cm="1">
        <f t="array" ref="H209">_xlfn.XLOOKUP(E209&amp;F209&amp;G209,'2.1 Electricidad'!$B$10:$B$138&amp;'2.1 Electricidad'!$C$10:$C$138&amp;'2.1 Electricidad'!$D$10:$D$138,'2.1 Electricidad'!$E$10:$E$138,"-")</f>
        <v>386500</v>
      </c>
      <c r="I209" s="764" t="str" cm="1">
        <f t="array" ref="I209">_xlfn.XLOOKUP(E209&amp;F209&amp;G209,'2.1 Electricidad'!$B$10:$B$138&amp;'2.1 Electricidad'!$C$10:$C$138&amp;'2.1 Electricidad'!$D$10:$D$138,'2.1 Electricidad'!$F$10:$F$138,"-")</f>
        <v>kgCO2e/GWh</v>
      </c>
      <c r="J209" s="764" t="str" cm="1">
        <f t="array" ref="J209">_xlfn.XLOOKUP(E209&amp;F209&amp;G209,'2.1 Electricidad'!$B$10:$B$138&amp;'2.1 Electricidad'!$C$10:$C$138&amp;'2.1 Electricidad'!$D$10:$D$138,'2.1 Electricidad'!$G$10:$G$138,"-")</f>
        <v>Energía Abierta (http://energiaabierta.cl/categorias-estadistica/sustentabilidad/)</v>
      </c>
      <c r="K209" s="764" t="s">
        <v>102</v>
      </c>
      <c r="L209" s="768" t="s">
        <v>102</v>
      </c>
    </row>
    <row r="210" spans="2:12" ht="43.2">
      <c r="B210" s="764" t="s">
        <v>198</v>
      </c>
      <c r="C210" s="764" t="s">
        <v>42</v>
      </c>
      <c r="D210" s="764" t="s">
        <v>198</v>
      </c>
      <c r="E210" s="764" t="s">
        <v>205</v>
      </c>
      <c r="F210" s="775">
        <v>2022</v>
      </c>
      <c r="G210" s="764" t="s">
        <v>202</v>
      </c>
      <c r="H210" s="765" cm="1">
        <f t="array" ref="H210">_xlfn.XLOOKUP(E210&amp;F210&amp;G210,'2.1 Electricidad'!$B$10:$B$138&amp;'2.1 Electricidad'!$C$10:$C$138&amp;'2.1 Electricidad'!$D$10:$D$138,'2.1 Electricidad'!$E$10:$E$138,"-")</f>
        <v>0.38650000000000001</v>
      </c>
      <c r="I210" s="764" t="str" cm="1">
        <f t="array" ref="I210">_xlfn.XLOOKUP(E210&amp;F210&amp;G210,'2.1 Electricidad'!$B$10:$B$138&amp;'2.1 Electricidad'!$C$10:$C$138&amp;'2.1 Electricidad'!$D$10:$D$138,'2.1 Electricidad'!$F$10:$F$138,"-")</f>
        <v>kgCO2e/kWh</v>
      </c>
      <c r="J210" s="764" t="str" cm="1">
        <f t="array" ref="J210">_xlfn.XLOOKUP(E210&amp;F210&amp;G210,'2.1 Electricidad'!$B$10:$B$138&amp;'2.1 Electricidad'!$C$10:$C$138&amp;'2.1 Electricidad'!$D$10:$D$138,'2.1 Electricidad'!$G$10:$G$138,"-")</f>
        <v>Energía Abierta (http://energiaabierta.cl/categorias-estadistica/sustentabilidad/)</v>
      </c>
      <c r="K210" s="764" t="s">
        <v>102</v>
      </c>
      <c r="L210" s="768" t="s">
        <v>102</v>
      </c>
    </row>
    <row r="211" spans="2:12" ht="43.2">
      <c r="B211" s="764" t="s">
        <v>198</v>
      </c>
      <c r="C211" s="764" t="s">
        <v>42</v>
      </c>
      <c r="D211" s="764" t="s">
        <v>198</v>
      </c>
      <c r="E211" s="764" t="s">
        <v>205</v>
      </c>
      <c r="F211" s="775">
        <v>2023</v>
      </c>
      <c r="G211" s="764" t="s">
        <v>200</v>
      </c>
      <c r="H211" s="765" cm="1">
        <f t="array" ref="H211">_xlfn.XLOOKUP(E211&amp;F211&amp;G211,'2.1 Electricidad'!$B$10:$B$138&amp;'2.1 Electricidad'!$C$10:$C$138&amp;'2.1 Electricidad'!$D$10:$D$138,'2.1 Electricidad'!$E$10:$E$138,"-")</f>
        <v>336.25</v>
      </c>
      <c r="I211" s="764" t="str" cm="1">
        <f t="array" ref="I211">_xlfn.XLOOKUP(E211&amp;F211&amp;G211,'2.1 Electricidad'!$B$10:$B$138&amp;'2.1 Electricidad'!$C$10:$C$138&amp;'2.1 Electricidad'!$D$10:$D$138,'2.1 Electricidad'!$F$10:$F$138,"-")</f>
        <v>kgCO2e/MWh</v>
      </c>
      <c r="J211" s="764" t="str" cm="1">
        <f t="array" ref="J211">_xlfn.XLOOKUP(E211&amp;F211&amp;G211,'2.1 Electricidad'!$B$10:$B$138&amp;'2.1 Electricidad'!$C$10:$C$138&amp;'2.1 Electricidad'!$D$10:$D$138,'2.1 Electricidad'!$G$10:$G$138,"-")</f>
        <v>Energía Abierta (http://energiaabierta.cl/categorias-estadistica/sustentabilidad/)</v>
      </c>
      <c r="K211" s="764" t="s">
        <v>102</v>
      </c>
      <c r="L211" s="768" t="s">
        <v>102</v>
      </c>
    </row>
    <row r="212" spans="2:12" ht="43.2">
      <c r="B212" s="764" t="s">
        <v>198</v>
      </c>
      <c r="C212" s="764" t="s">
        <v>42</v>
      </c>
      <c r="D212" s="764" t="s">
        <v>198</v>
      </c>
      <c r="E212" s="764" t="s">
        <v>205</v>
      </c>
      <c r="F212" s="775">
        <v>2023</v>
      </c>
      <c r="G212" s="764" t="s">
        <v>201</v>
      </c>
      <c r="H212" s="774" cm="1">
        <f t="array" ref="H212">_xlfn.XLOOKUP(E212&amp;F212&amp;G212,'2.1 Electricidad'!$B$10:$B$138&amp;'2.1 Electricidad'!$C$10:$C$138&amp;'2.1 Electricidad'!$D$10:$D$138,'2.1 Electricidad'!$E$10:$E$138,"-")</f>
        <v>336250</v>
      </c>
      <c r="I212" s="764" t="str" cm="1">
        <f t="array" ref="I212">_xlfn.XLOOKUP(E212&amp;F212&amp;G212,'2.1 Electricidad'!$B$10:$B$138&amp;'2.1 Electricidad'!$C$10:$C$138&amp;'2.1 Electricidad'!$D$10:$D$138,'2.1 Electricidad'!$F$10:$F$138,"-")</f>
        <v>kgCO2e/GWh</v>
      </c>
      <c r="J212" s="764" t="str" cm="1">
        <f t="array" ref="J212">_xlfn.XLOOKUP(E212&amp;F212&amp;G212,'2.1 Electricidad'!$B$10:$B$138&amp;'2.1 Electricidad'!$C$10:$C$138&amp;'2.1 Electricidad'!$D$10:$D$138,'2.1 Electricidad'!$G$10:$G$138,"-")</f>
        <v>Energía Abierta (http://energiaabierta.cl/categorias-estadistica/sustentabilidad/)</v>
      </c>
      <c r="K212" s="764" t="s">
        <v>102</v>
      </c>
      <c r="L212" s="768" t="s">
        <v>102</v>
      </c>
    </row>
    <row r="213" spans="2:12" ht="43.2">
      <c r="B213" s="764" t="s">
        <v>198</v>
      </c>
      <c r="C213" s="764" t="s">
        <v>42</v>
      </c>
      <c r="D213" s="764" t="s">
        <v>198</v>
      </c>
      <c r="E213" s="764" t="s">
        <v>205</v>
      </c>
      <c r="F213" s="775">
        <v>2023</v>
      </c>
      <c r="G213" s="764" t="s">
        <v>202</v>
      </c>
      <c r="H213" s="765" cm="1">
        <f t="array" ref="H213">_xlfn.XLOOKUP(E213&amp;F213&amp;G213,'2.1 Electricidad'!$B$10:$B$138&amp;'2.1 Electricidad'!$C$10:$C$138&amp;'2.1 Electricidad'!$D$10:$D$138,'2.1 Electricidad'!$E$10:$E$138,"-")</f>
        <v>0.33624999999999999</v>
      </c>
      <c r="I213" s="764" t="str" cm="1">
        <f t="array" ref="I213">_xlfn.XLOOKUP(E213&amp;F213&amp;G213,'2.1 Electricidad'!$B$10:$B$138&amp;'2.1 Electricidad'!$C$10:$C$138&amp;'2.1 Electricidad'!$D$10:$D$138,'2.1 Electricidad'!$F$10:$F$138,"-")</f>
        <v>kgCO2e/kWh</v>
      </c>
      <c r="J213" s="764" t="str" cm="1">
        <f t="array" ref="J213">_xlfn.XLOOKUP(E213&amp;F213&amp;G213,'2.1 Electricidad'!$B$10:$B$138&amp;'2.1 Electricidad'!$C$10:$C$138&amp;'2.1 Electricidad'!$D$10:$D$138,'2.1 Electricidad'!$G$10:$G$138,"-")</f>
        <v>Energía Abierta (http://energiaabierta.cl/categorias-estadistica/sustentabilidad/)</v>
      </c>
      <c r="K213" s="764" t="s">
        <v>102</v>
      </c>
      <c r="L213" s="768" t="s">
        <v>102</v>
      </c>
    </row>
    <row r="214" spans="2:12" ht="43.2">
      <c r="B214" s="764" t="s">
        <v>198</v>
      </c>
      <c r="C214" s="764" t="s">
        <v>42</v>
      </c>
      <c r="D214" s="764" t="s">
        <v>198</v>
      </c>
      <c r="E214" s="764" t="s">
        <v>205</v>
      </c>
      <c r="F214" s="775">
        <v>2024</v>
      </c>
      <c r="G214" s="764" t="s">
        <v>200</v>
      </c>
      <c r="H214" s="765" t="str" cm="1">
        <f t="array" ref="H214">_xlfn.XLOOKUP(E214&amp;F214&amp;G214,'2.1 Electricidad'!$B$10:$B$138&amp;'2.1 Electricidad'!$C$10:$C$138&amp;'2.1 Electricidad'!$D$10:$D$138,'2.1 Electricidad'!$E$10:$E$138,"-")</f>
        <v>PENDIENTE</v>
      </c>
      <c r="I214" s="764" t="str" cm="1">
        <f t="array" ref="I214">_xlfn.XLOOKUP(E214&amp;F214&amp;G214,'2.1 Electricidad'!$B$10:$B$138&amp;'2.1 Electricidad'!$C$10:$C$138&amp;'2.1 Electricidad'!$D$10:$D$138,'2.1 Electricidad'!$F$10:$F$138,"-")</f>
        <v>kgCO2e/MWh</v>
      </c>
      <c r="J214" s="764" t="str" cm="1">
        <f t="array" ref="J214">_xlfn.XLOOKUP(E214&amp;F214&amp;G214,'2.1 Electricidad'!$B$10:$B$138&amp;'2.1 Electricidad'!$C$10:$C$138&amp;'2.1 Electricidad'!$D$10:$D$138,'2.1 Electricidad'!$G$10:$G$138,"-")</f>
        <v>Energía Abierta (http://energiaabierta.cl/categorias-estadistica/sustentabilidad/)</v>
      </c>
      <c r="K214" s="764" t="s">
        <v>102</v>
      </c>
      <c r="L214" s="768" t="s">
        <v>102</v>
      </c>
    </row>
    <row r="215" spans="2:12" ht="43.2">
      <c r="B215" s="764" t="s">
        <v>198</v>
      </c>
      <c r="C215" s="764" t="s">
        <v>42</v>
      </c>
      <c r="D215" s="764" t="s">
        <v>198</v>
      </c>
      <c r="E215" s="764" t="s">
        <v>205</v>
      </c>
      <c r="F215" s="775">
        <v>2024</v>
      </c>
      <c r="G215" s="764" t="s">
        <v>201</v>
      </c>
      <c r="H215" s="765" t="str" cm="1">
        <f t="array" ref="H215">_xlfn.XLOOKUP(E215&amp;F215&amp;G215,'2.1 Electricidad'!$B$10:$B$138&amp;'2.1 Electricidad'!$C$10:$C$138&amp;'2.1 Electricidad'!$D$10:$D$138,'2.1 Electricidad'!$E$10:$E$138,"-")</f>
        <v>PENDIENTE</v>
      </c>
      <c r="I215" s="764" t="str" cm="1">
        <f t="array" ref="I215">_xlfn.XLOOKUP(E215&amp;F215&amp;G215,'2.1 Electricidad'!$B$10:$B$138&amp;'2.1 Electricidad'!$C$10:$C$138&amp;'2.1 Electricidad'!$D$10:$D$138,'2.1 Electricidad'!$F$10:$F$138,"-")</f>
        <v>kgCO2e/GWh</v>
      </c>
      <c r="J215" s="764" t="str" cm="1">
        <f t="array" ref="J215">_xlfn.XLOOKUP(E215&amp;F215&amp;G215,'2.1 Electricidad'!$B$10:$B$138&amp;'2.1 Electricidad'!$C$10:$C$138&amp;'2.1 Electricidad'!$D$10:$D$138,'2.1 Electricidad'!$G$10:$G$138,"-")</f>
        <v>Energía Abierta (http://energiaabierta.cl/categorias-estadistica/sustentabilidad/)</v>
      </c>
      <c r="K215" s="764" t="s">
        <v>102</v>
      </c>
      <c r="L215" s="768" t="s">
        <v>102</v>
      </c>
    </row>
    <row r="216" spans="2:12" ht="43.2">
      <c r="B216" s="764" t="s">
        <v>198</v>
      </c>
      <c r="C216" s="764" t="s">
        <v>42</v>
      </c>
      <c r="D216" s="764" t="s">
        <v>198</v>
      </c>
      <c r="E216" s="764" t="s">
        <v>205</v>
      </c>
      <c r="F216" s="775">
        <v>2024</v>
      </c>
      <c r="G216" s="764" t="s">
        <v>202</v>
      </c>
      <c r="H216" s="765" t="str" cm="1">
        <f t="array" ref="H216">_xlfn.XLOOKUP(E216&amp;F216&amp;G216,'2.1 Electricidad'!$B$10:$B$138&amp;'2.1 Electricidad'!$C$10:$C$138&amp;'2.1 Electricidad'!$D$10:$D$138,'2.1 Electricidad'!$E$10:$E$138,"-")</f>
        <v>PENDIENTE</v>
      </c>
      <c r="I216" s="764" t="str" cm="1">
        <f t="array" ref="I216">_xlfn.XLOOKUP(E216&amp;F216&amp;G216,'2.1 Electricidad'!$B$10:$B$138&amp;'2.1 Electricidad'!$C$10:$C$138&amp;'2.1 Electricidad'!$D$10:$D$138,'2.1 Electricidad'!$F$10:$F$138,"-")</f>
        <v>kgCO2e/kWh</v>
      </c>
      <c r="J216" s="764" t="str" cm="1">
        <f t="array" ref="J216">_xlfn.XLOOKUP(E216&amp;F216&amp;G216,'2.1 Electricidad'!$B$10:$B$138&amp;'2.1 Electricidad'!$C$10:$C$138&amp;'2.1 Electricidad'!$D$10:$D$138,'2.1 Electricidad'!$G$10:$G$138,"-")</f>
        <v>Energía Abierta (http://energiaabierta.cl/categorias-estadistica/sustentabilidad/)</v>
      </c>
      <c r="K216" s="764" t="s">
        <v>102</v>
      </c>
      <c r="L216" s="768" t="s">
        <v>102</v>
      </c>
    </row>
    <row r="217" spans="2:12" ht="43.2">
      <c r="B217" s="764" t="s">
        <v>198</v>
      </c>
      <c r="C217" s="764" t="s">
        <v>42</v>
      </c>
      <c r="D217" s="764" t="s">
        <v>198</v>
      </c>
      <c r="E217" s="764" t="s">
        <v>206</v>
      </c>
      <c r="F217" s="775">
        <v>2015</v>
      </c>
      <c r="G217" s="764" t="s">
        <v>200</v>
      </c>
      <c r="H217" s="765" cm="1">
        <f t="array" ref="H217">_xlfn.XLOOKUP(E217&amp;F217&amp;G217,'2.1 Electricidad'!$B$10:$B$138&amp;'2.1 Electricidad'!$C$10:$C$138&amp;'2.1 Electricidad'!$D$10:$D$138,'2.1 Electricidad'!$E$10:$E$138,"-")</f>
        <v>568.33333000000005</v>
      </c>
      <c r="I217" s="764" t="str" cm="1">
        <f t="array" ref="I217">_xlfn.XLOOKUP(E217&amp;F217&amp;G217,'2.1 Electricidad'!$B$10:$B$138&amp;'2.1 Electricidad'!$C$10:$C$138&amp;'2.1 Electricidad'!$D$10:$D$138,'2.1 Electricidad'!$F$10:$F$138,"-")</f>
        <v>kgCO2e/MWh</v>
      </c>
      <c r="J217" s="764" t="str" cm="1">
        <f t="array" ref="J217">_xlfn.XLOOKUP(E217&amp;F217&amp;G217,'2.1 Electricidad'!$B$10:$B$138&amp;'2.1 Electricidad'!$C$10:$C$138&amp;'2.1 Electricidad'!$D$10:$D$138,'2.1 Electricidad'!$G$10:$G$138,"-")</f>
        <v>Energía Abierta (http://energiaabierta.cl/categorias-estadistica/sustentabilidad/)</v>
      </c>
      <c r="K217" s="764" t="s">
        <v>102</v>
      </c>
      <c r="L217" s="768" t="s">
        <v>102</v>
      </c>
    </row>
    <row r="218" spans="2:12" ht="43.2">
      <c r="B218" s="764" t="s">
        <v>198</v>
      </c>
      <c r="C218" s="764" t="s">
        <v>42</v>
      </c>
      <c r="D218" s="764" t="s">
        <v>198</v>
      </c>
      <c r="E218" s="764" t="s">
        <v>206</v>
      </c>
      <c r="F218" s="775">
        <v>2015</v>
      </c>
      <c r="G218" s="764" t="s">
        <v>201</v>
      </c>
      <c r="H218" s="774" cm="1">
        <f t="array" ref="H218">_xlfn.XLOOKUP(E218&amp;F218&amp;G218,'2.1 Electricidad'!$B$10:$B$138&amp;'2.1 Electricidad'!$C$10:$C$138&amp;'2.1 Electricidad'!$D$10:$D$138,'2.1 Electricidad'!$E$10:$E$138,"-")</f>
        <v>568333.33000000007</v>
      </c>
      <c r="I218" s="764" t="str" cm="1">
        <f t="array" ref="I218">_xlfn.XLOOKUP(E218&amp;F218&amp;G218,'2.1 Electricidad'!$B$10:$B$138&amp;'2.1 Electricidad'!$C$10:$C$138&amp;'2.1 Electricidad'!$D$10:$D$138,'2.1 Electricidad'!$F$10:$F$138,"-")</f>
        <v>kgCO2e/GWh</v>
      </c>
      <c r="J218" s="764" t="str" cm="1">
        <f t="array" ref="J218">_xlfn.XLOOKUP(E218&amp;F218&amp;G218,'2.1 Electricidad'!$B$10:$B$138&amp;'2.1 Electricidad'!$C$10:$C$138&amp;'2.1 Electricidad'!$D$10:$D$138,'2.1 Electricidad'!$G$10:$G$138,"-")</f>
        <v>Energía Abierta (http://energiaabierta.cl/categorias-estadistica/sustentabilidad/)</v>
      </c>
      <c r="K218" s="764" t="s">
        <v>102</v>
      </c>
      <c r="L218" s="768" t="s">
        <v>102</v>
      </c>
    </row>
    <row r="219" spans="2:12" ht="43.2">
      <c r="B219" s="764" t="s">
        <v>198</v>
      </c>
      <c r="C219" s="764" t="s">
        <v>42</v>
      </c>
      <c r="D219" s="764" t="s">
        <v>198</v>
      </c>
      <c r="E219" s="764" t="s">
        <v>206</v>
      </c>
      <c r="F219" s="775">
        <v>2015</v>
      </c>
      <c r="G219" s="764" t="s">
        <v>202</v>
      </c>
      <c r="H219" s="765" cm="1">
        <f t="array" ref="H219">_xlfn.XLOOKUP(E219&amp;F219&amp;G219,'2.1 Electricidad'!$B$10:$B$138&amp;'2.1 Electricidad'!$C$10:$C$138&amp;'2.1 Electricidad'!$D$10:$D$138,'2.1 Electricidad'!$E$10:$E$138,"-")</f>
        <v>0.56833333000000008</v>
      </c>
      <c r="I219" s="764" t="str" cm="1">
        <f t="array" ref="I219">_xlfn.XLOOKUP(E219&amp;F219&amp;G219,'2.1 Electricidad'!$B$10:$B$138&amp;'2.1 Electricidad'!$C$10:$C$138&amp;'2.1 Electricidad'!$D$10:$D$138,'2.1 Electricidad'!$F$10:$F$138,"-")</f>
        <v>kgCO2e/kWh</v>
      </c>
      <c r="J219" s="764" t="str" cm="1">
        <f t="array" ref="J219">_xlfn.XLOOKUP(E219&amp;F219&amp;G219,'2.1 Electricidad'!$B$10:$B$138&amp;'2.1 Electricidad'!$C$10:$C$138&amp;'2.1 Electricidad'!$D$10:$D$138,'2.1 Electricidad'!$G$10:$G$138,"-")</f>
        <v>Energía Abierta (http://energiaabierta.cl/categorias-estadistica/sustentabilidad/)</v>
      </c>
      <c r="K219" s="764" t="s">
        <v>102</v>
      </c>
      <c r="L219" s="768" t="s">
        <v>102</v>
      </c>
    </row>
    <row r="220" spans="2:12" ht="43.2">
      <c r="B220" s="764" t="s">
        <v>198</v>
      </c>
      <c r="C220" s="764" t="s">
        <v>42</v>
      </c>
      <c r="D220" s="764" t="s">
        <v>198</v>
      </c>
      <c r="E220" s="764" t="s">
        <v>206</v>
      </c>
      <c r="F220" s="775">
        <v>2016</v>
      </c>
      <c r="G220" s="764" t="s">
        <v>200</v>
      </c>
      <c r="H220" s="765" cm="1">
        <f t="array" ref="H220">_xlfn.XLOOKUP(E220&amp;F220&amp;G220,'2.1 Electricidad'!$B$10:$B$138&amp;'2.1 Electricidad'!$C$10:$C$138&amp;'2.1 Electricidad'!$D$10:$D$138,'2.1 Electricidad'!$E$10:$E$138,"-")</f>
        <v>567.08333000000005</v>
      </c>
      <c r="I220" s="764" t="str" cm="1">
        <f t="array" ref="I220">_xlfn.XLOOKUP(E220&amp;F220&amp;G220,'2.1 Electricidad'!$B$10:$B$138&amp;'2.1 Electricidad'!$C$10:$C$138&amp;'2.1 Electricidad'!$D$10:$D$138,'2.1 Electricidad'!$F$10:$F$138,"-")</f>
        <v>kgCO2e/MWh</v>
      </c>
      <c r="J220" s="764" t="str" cm="1">
        <f t="array" ref="J220">_xlfn.XLOOKUP(E220&amp;F220&amp;G220,'2.1 Electricidad'!$B$10:$B$138&amp;'2.1 Electricidad'!$C$10:$C$138&amp;'2.1 Electricidad'!$D$10:$D$138,'2.1 Electricidad'!$G$10:$G$138,"-")</f>
        <v>Energía Abierta (http://energiaabierta.cl/categorias-estadistica/sustentabilidad/)</v>
      </c>
      <c r="K220" s="764" t="s">
        <v>102</v>
      </c>
      <c r="L220" s="768" t="s">
        <v>102</v>
      </c>
    </row>
    <row r="221" spans="2:12" ht="43.2">
      <c r="B221" s="764" t="s">
        <v>198</v>
      </c>
      <c r="C221" s="764" t="s">
        <v>42</v>
      </c>
      <c r="D221" s="764" t="s">
        <v>198</v>
      </c>
      <c r="E221" s="764" t="s">
        <v>206</v>
      </c>
      <c r="F221" s="775">
        <v>2016</v>
      </c>
      <c r="G221" s="764" t="s">
        <v>201</v>
      </c>
      <c r="H221" s="774" cm="1">
        <f t="array" ref="H221">_xlfn.XLOOKUP(E221&amp;F221&amp;G221,'2.1 Electricidad'!$B$10:$B$138&amp;'2.1 Electricidad'!$C$10:$C$138&amp;'2.1 Electricidad'!$D$10:$D$138,'2.1 Electricidad'!$E$10:$E$138,"-")</f>
        <v>567083.33000000007</v>
      </c>
      <c r="I221" s="764" t="str" cm="1">
        <f t="array" ref="I221">_xlfn.XLOOKUP(E221&amp;F221&amp;G221,'2.1 Electricidad'!$B$10:$B$138&amp;'2.1 Electricidad'!$C$10:$C$138&amp;'2.1 Electricidad'!$D$10:$D$138,'2.1 Electricidad'!$F$10:$F$138,"-")</f>
        <v>kgCO2e/GWh</v>
      </c>
      <c r="J221" s="764" t="str" cm="1">
        <f t="array" ref="J221">_xlfn.XLOOKUP(E221&amp;F221&amp;G221,'2.1 Electricidad'!$B$10:$B$138&amp;'2.1 Electricidad'!$C$10:$C$138&amp;'2.1 Electricidad'!$D$10:$D$138,'2.1 Electricidad'!$G$10:$G$138,"-")</f>
        <v>Energía Abierta (http://energiaabierta.cl/categorias-estadistica/sustentabilidad/)</v>
      </c>
      <c r="K221" s="764" t="s">
        <v>102</v>
      </c>
      <c r="L221" s="768" t="s">
        <v>102</v>
      </c>
    </row>
    <row r="222" spans="2:12" ht="43.2">
      <c r="B222" s="764" t="s">
        <v>198</v>
      </c>
      <c r="C222" s="764" t="s">
        <v>42</v>
      </c>
      <c r="D222" s="764" t="s">
        <v>198</v>
      </c>
      <c r="E222" s="764" t="s">
        <v>206</v>
      </c>
      <c r="F222" s="775">
        <v>2016</v>
      </c>
      <c r="G222" s="764" t="s">
        <v>202</v>
      </c>
      <c r="H222" s="765" cm="1">
        <f t="array" ref="H222">_xlfn.XLOOKUP(E222&amp;F222&amp;G222,'2.1 Electricidad'!$B$10:$B$138&amp;'2.1 Electricidad'!$C$10:$C$138&amp;'2.1 Electricidad'!$D$10:$D$138,'2.1 Electricidad'!$E$10:$E$138,"-")</f>
        <v>0.56708333000000011</v>
      </c>
      <c r="I222" s="764" t="str" cm="1">
        <f t="array" ref="I222">_xlfn.XLOOKUP(E222&amp;F222&amp;G222,'2.1 Electricidad'!$B$10:$B$138&amp;'2.1 Electricidad'!$C$10:$C$138&amp;'2.1 Electricidad'!$D$10:$D$138,'2.1 Electricidad'!$F$10:$F$138,"-")</f>
        <v>kgCO2e/kWh</v>
      </c>
      <c r="J222" s="764" t="str" cm="1">
        <f t="array" ref="J222">_xlfn.XLOOKUP(E222&amp;F222&amp;G222,'2.1 Electricidad'!$B$10:$B$138&amp;'2.1 Electricidad'!$C$10:$C$138&amp;'2.1 Electricidad'!$D$10:$D$138,'2.1 Electricidad'!$G$10:$G$138,"-")</f>
        <v>Energía Abierta (http://energiaabierta.cl/categorias-estadistica/sustentabilidad/)</v>
      </c>
      <c r="K222" s="764" t="s">
        <v>102</v>
      </c>
      <c r="L222" s="768" t="s">
        <v>102</v>
      </c>
    </row>
    <row r="223" spans="2:12" ht="43.2">
      <c r="B223" s="764" t="s">
        <v>198</v>
      </c>
      <c r="C223" s="764" t="s">
        <v>42</v>
      </c>
      <c r="D223" s="764" t="s">
        <v>198</v>
      </c>
      <c r="E223" s="764" t="s">
        <v>206</v>
      </c>
      <c r="F223" s="775">
        <v>2017</v>
      </c>
      <c r="G223" s="764" t="s">
        <v>200</v>
      </c>
      <c r="H223" s="765" cm="1">
        <f t="array" ref="H223">_xlfn.XLOOKUP(E223&amp;F223&amp;G223,'2.1 Electricidad'!$B$10:$B$138&amp;'2.1 Electricidad'!$C$10:$C$138&amp;'2.1 Electricidad'!$D$10:$D$138,'2.1 Electricidad'!$E$10:$E$138,"-")</f>
        <v>567.75</v>
      </c>
      <c r="I223" s="764" t="str" cm="1">
        <f t="array" ref="I223">_xlfn.XLOOKUP(E223&amp;F223&amp;G223,'2.1 Electricidad'!$B$10:$B$138&amp;'2.1 Electricidad'!$C$10:$C$138&amp;'2.1 Electricidad'!$D$10:$D$138,'2.1 Electricidad'!$F$10:$F$138,"-")</f>
        <v>kgCO2e/MWh</v>
      </c>
      <c r="J223" s="764" t="str" cm="1">
        <f t="array" ref="J223">_xlfn.XLOOKUP(E223&amp;F223&amp;G223,'2.1 Electricidad'!$B$10:$B$138&amp;'2.1 Electricidad'!$C$10:$C$138&amp;'2.1 Electricidad'!$D$10:$D$138,'2.1 Electricidad'!$G$10:$G$138,"-")</f>
        <v>Energía Abierta (http://energiaabierta.cl/categorias-estadistica/sustentabilidad/)</v>
      </c>
      <c r="K223" s="764" t="s">
        <v>102</v>
      </c>
      <c r="L223" s="768" t="s">
        <v>102</v>
      </c>
    </row>
    <row r="224" spans="2:12" ht="43.2">
      <c r="B224" s="764" t="s">
        <v>198</v>
      </c>
      <c r="C224" s="764" t="s">
        <v>42</v>
      </c>
      <c r="D224" s="764" t="s">
        <v>198</v>
      </c>
      <c r="E224" s="764" t="s">
        <v>206</v>
      </c>
      <c r="F224" s="775">
        <v>2017</v>
      </c>
      <c r="G224" s="764" t="s">
        <v>201</v>
      </c>
      <c r="H224" s="774" cm="1">
        <f t="array" ref="H224">_xlfn.XLOOKUP(E224&amp;F224&amp;G224,'2.1 Electricidad'!$B$10:$B$138&amp;'2.1 Electricidad'!$C$10:$C$138&amp;'2.1 Electricidad'!$D$10:$D$138,'2.1 Electricidad'!$E$10:$E$138,"-")</f>
        <v>567750</v>
      </c>
      <c r="I224" s="764" t="str" cm="1">
        <f t="array" ref="I224">_xlfn.XLOOKUP(E224&amp;F224&amp;G224,'2.1 Electricidad'!$B$10:$B$138&amp;'2.1 Electricidad'!$C$10:$C$138&amp;'2.1 Electricidad'!$D$10:$D$138,'2.1 Electricidad'!$F$10:$F$138,"-")</f>
        <v>kgCO2e/GWh</v>
      </c>
      <c r="J224" s="764" t="str" cm="1">
        <f t="array" ref="J224">_xlfn.XLOOKUP(E224&amp;F224&amp;G224,'2.1 Electricidad'!$B$10:$B$138&amp;'2.1 Electricidad'!$C$10:$C$138&amp;'2.1 Electricidad'!$D$10:$D$138,'2.1 Electricidad'!$G$10:$G$138,"-")</f>
        <v>Energía Abierta (http://energiaabierta.cl/categorias-estadistica/sustentabilidad/)</v>
      </c>
      <c r="K224" s="764" t="s">
        <v>102</v>
      </c>
      <c r="L224" s="768" t="s">
        <v>102</v>
      </c>
    </row>
    <row r="225" spans="2:12" ht="43.2">
      <c r="B225" s="764" t="s">
        <v>198</v>
      </c>
      <c r="C225" s="764" t="s">
        <v>42</v>
      </c>
      <c r="D225" s="764" t="s">
        <v>198</v>
      </c>
      <c r="E225" s="764" t="s">
        <v>206</v>
      </c>
      <c r="F225" s="775">
        <v>2017</v>
      </c>
      <c r="G225" s="764" t="s">
        <v>202</v>
      </c>
      <c r="H225" s="765" cm="1">
        <f t="array" ref="H225">_xlfn.XLOOKUP(E225&amp;F225&amp;G225,'2.1 Electricidad'!$B$10:$B$138&amp;'2.1 Electricidad'!$C$10:$C$138&amp;'2.1 Electricidad'!$D$10:$D$138,'2.1 Electricidad'!$E$10:$E$138,"-")</f>
        <v>0.56774999999999998</v>
      </c>
      <c r="I225" s="764" t="str" cm="1">
        <f t="array" ref="I225">_xlfn.XLOOKUP(E225&amp;F225&amp;G225,'2.1 Electricidad'!$B$10:$B$138&amp;'2.1 Electricidad'!$C$10:$C$138&amp;'2.1 Electricidad'!$D$10:$D$138,'2.1 Electricidad'!$F$10:$F$138,"-")</f>
        <v>kgCO2e/kWh</v>
      </c>
      <c r="J225" s="764" t="str" cm="1">
        <f t="array" ref="J225">_xlfn.XLOOKUP(E225&amp;F225&amp;G225,'2.1 Electricidad'!$B$10:$B$138&amp;'2.1 Electricidad'!$C$10:$C$138&amp;'2.1 Electricidad'!$D$10:$D$138,'2.1 Electricidad'!$G$10:$G$138,"-")</f>
        <v>Energía Abierta (http://energiaabierta.cl/categorias-estadistica/sustentabilidad/)</v>
      </c>
      <c r="K225" s="764" t="s">
        <v>102</v>
      </c>
      <c r="L225" s="768" t="s">
        <v>102</v>
      </c>
    </row>
    <row r="226" spans="2:12" ht="43.2">
      <c r="B226" s="764" t="s">
        <v>198</v>
      </c>
      <c r="C226" s="764" t="s">
        <v>42</v>
      </c>
      <c r="D226" s="764" t="s">
        <v>198</v>
      </c>
      <c r="E226" s="764" t="s">
        <v>206</v>
      </c>
      <c r="F226" s="775">
        <v>2018</v>
      </c>
      <c r="G226" s="764" t="s">
        <v>200</v>
      </c>
      <c r="H226" s="765" cm="1">
        <f t="array" ref="H226">_xlfn.XLOOKUP(E226&amp;F226&amp;G226,'2.1 Electricidad'!$B$10:$B$138&amp;'2.1 Electricidad'!$C$10:$C$138&amp;'2.1 Electricidad'!$D$10:$D$138,'2.1 Electricidad'!$E$10:$E$138,"-")</f>
        <v>572</v>
      </c>
      <c r="I226" s="764" t="str" cm="1">
        <f t="array" ref="I226">_xlfn.XLOOKUP(E226&amp;F226&amp;G226,'2.1 Electricidad'!$B$10:$B$138&amp;'2.1 Electricidad'!$C$10:$C$138&amp;'2.1 Electricidad'!$D$10:$D$138,'2.1 Electricidad'!$F$10:$F$138,"-")</f>
        <v>kgCO2e/MWh</v>
      </c>
      <c r="J226" s="764" t="str" cm="1">
        <f t="array" ref="J226">_xlfn.XLOOKUP(E226&amp;F226&amp;G226,'2.1 Electricidad'!$B$10:$B$138&amp;'2.1 Electricidad'!$C$10:$C$138&amp;'2.1 Electricidad'!$D$10:$D$138,'2.1 Electricidad'!$G$10:$G$138,"-")</f>
        <v>Energía Abierta (http://energiaabierta.cl/categorias-estadistica/sustentabilidad/)</v>
      </c>
      <c r="K226" s="764" t="s">
        <v>102</v>
      </c>
      <c r="L226" s="768" t="s">
        <v>102</v>
      </c>
    </row>
    <row r="227" spans="2:12" ht="43.2">
      <c r="B227" s="764" t="s">
        <v>198</v>
      </c>
      <c r="C227" s="764" t="s">
        <v>42</v>
      </c>
      <c r="D227" s="764" t="s">
        <v>198</v>
      </c>
      <c r="E227" s="764" t="s">
        <v>206</v>
      </c>
      <c r="F227" s="775">
        <v>2018</v>
      </c>
      <c r="G227" s="764" t="s">
        <v>201</v>
      </c>
      <c r="H227" s="774" cm="1">
        <f t="array" ref="H227">_xlfn.XLOOKUP(E227&amp;F227&amp;G227,'2.1 Electricidad'!$B$10:$B$138&amp;'2.1 Electricidad'!$C$10:$C$138&amp;'2.1 Electricidad'!$D$10:$D$138,'2.1 Electricidad'!$E$10:$E$138,"-")</f>
        <v>572000</v>
      </c>
      <c r="I227" s="764" t="str" cm="1">
        <f t="array" ref="I227">_xlfn.XLOOKUP(E227&amp;F227&amp;G227,'2.1 Electricidad'!$B$10:$B$138&amp;'2.1 Electricidad'!$C$10:$C$138&amp;'2.1 Electricidad'!$D$10:$D$138,'2.1 Electricidad'!$F$10:$F$138,"-")</f>
        <v>kgCO2e/GWh</v>
      </c>
      <c r="J227" s="764" t="str" cm="1">
        <f t="array" ref="J227">_xlfn.XLOOKUP(E227&amp;F227&amp;G227,'2.1 Electricidad'!$B$10:$B$138&amp;'2.1 Electricidad'!$C$10:$C$138&amp;'2.1 Electricidad'!$D$10:$D$138,'2.1 Electricidad'!$G$10:$G$138,"-")</f>
        <v>Energía Abierta (http://energiaabierta.cl/categorias-estadistica/sustentabilidad/)</v>
      </c>
      <c r="K227" s="764" t="s">
        <v>102</v>
      </c>
      <c r="L227" s="768" t="s">
        <v>102</v>
      </c>
    </row>
    <row r="228" spans="2:12" ht="43.2">
      <c r="B228" s="764" t="s">
        <v>198</v>
      </c>
      <c r="C228" s="764" t="s">
        <v>42</v>
      </c>
      <c r="D228" s="764" t="s">
        <v>198</v>
      </c>
      <c r="E228" s="764" t="s">
        <v>206</v>
      </c>
      <c r="F228" s="775">
        <v>2018</v>
      </c>
      <c r="G228" s="764" t="s">
        <v>202</v>
      </c>
      <c r="H228" s="765" cm="1">
        <f t="array" ref="H228">_xlfn.XLOOKUP(E228&amp;F228&amp;G228,'2.1 Electricidad'!$B$10:$B$138&amp;'2.1 Electricidad'!$C$10:$C$138&amp;'2.1 Electricidad'!$D$10:$D$138,'2.1 Electricidad'!$E$10:$E$138,"-")</f>
        <v>0.57200000000000006</v>
      </c>
      <c r="I228" s="764" t="str" cm="1">
        <f t="array" ref="I228">_xlfn.XLOOKUP(E228&amp;F228&amp;G228,'2.1 Electricidad'!$B$10:$B$138&amp;'2.1 Electricidad'!$C$10:$C$138&amp;'2.1 Electricidad'!$D$10:$D$138,'2.1 Electricidad'!$F$10:$F$138,"-")</f>
        <v>kgCO2e/kWh</v>
      </c>
      <c r="J228" s="764" t="str" cm="1">
        <f t="array" ref="J228">_xlfn.XLOOKUP(E228&amp;F228&amp;G228,'2.1 Electricidad'!$B$10:$B$138&amp;'2.1 Electricidad'!$C$10:$C$138&amp;'2.1 Electricidad'!$D$10:$D$138,'2.1 Electricidad'!$G$10:$G$138,"-")</f>
        <v>Energía Abierta (http://energiaabierta.cl/categorias-estadistica/sustentabilidad/)</v>
      </c>
      <c r="K228" s="764" t="s">
        <v>102</v>
      </c>
      <c r="L228" s="768" t="s">
        <v>102</v>
      </c>
    </row>
    <row r="229" spans="2:12" ht="43.2">
      <c r="B229" s="764" t="s">
        <v>198</v>
      </c>
      <c r="C229" s="764" t="s">
        <v>42</v>
      </c>
      <c r="D229" s="764" t="s">
        <v>198</v>
      </c>
      <c r="E229" s="764" t="s">
        <v>206</v>
      </c>
      <c r="F229" s="775">
        <v>2019</v>
      </c>
      <c r="G229" s="764" t="s">
        <v>200</v>
      </c>
      <c r="H229" s="765" cm="1">
        <f t="array" ref="H229">_xlfn.XLOOKUP(E229&amp;F229&amp;G229,'2.1 Electricidad'!$B$10:$B$138&amp;'2.1 Electricidad'!$C$10:$C$138&amp;'2.1 Electricidad'!$D$10:$D$138,'2.1 Electricidad'!$E$10:$E$138,"-")</f>
        <v>595.66666999999995</v>
      </c>
      <c r="I229" s="764" t="str" cm="1">
        <f t="array" ref="I229">_xlfn.XLOOKUP(E229&amp;F229&amp;G229,'2.1 Electricidad'!$B$10:$B$138&amp;'2.1 Electricidad'!$C$10:$C$138&amp;'2.1 Electricidad'!$D$10:$D$138,'2.1 Electricidad'!$F$10:$F$138,"-")</f>
        <v>kgCO2e/MWh</v>
      </c>
      <c r="J229" s="764" t="str" cm="1">
        <f t="array" ref="J229">_xlfn.XLOOKUP(E229&amp;F229&amp;G229,'2.1 Electricidad'!$B$10:$B$138&amp;'2.1 Electricidad'!$C$10:$C$138&amp;'2.1 Electricidad'!$D$10:$D$138,'2.1 Electricidad'!$G$10:$G$138,"-")</f>
        <v>Energía Abierta (http://energiaabierta.cl/categorias-estadistica/sustentabilidad/)</v>
      </c>
      <c r="K229" s="764" t="s">
        <v>102</v>
      </c>
      <c r="L229" s="768" t="s">
        <v>102</v>
      </c>
    </row>
    <row r="230" spans="2:12" ht="43.2">
      <c r="B230" s="764" t="s">
        <v>198</v>
      </c>
      <c r="C230" s="764" t="s">
        <v>42</v>
      </c>
      <c r="D230" s="764" t="s">
        <v>198</v>
      </c>
      <c r="E230" s="764" t="s">
        <v>206</v>
      </c>
      <c r="F230" s="775">
        <v>2019</v>
      </c>
      <c r="G230" s="764" t="s">
        <v>201</v>
      </c>
      <c r="H230" s="774" cm="1">
        <f t="array" ref="H230">_xlfn.XLOOKUP(E230&amp;F230&amp;G230,'2.1 Electricidad'!$B$10:$B$138&amp;'2.1 Electricidad'!$C$10:$C$138&amp;'2.1 Electricidad'!$D$10:$D$138,'2.1 Electricidad'!$E$10:$E$138,"-")</f>
        <v>595666.66999999993</v>
      </c>
      <c r="I230" s="764" t="str" cm="1">
        <f t="array" ref="I230">_xlfn.XLOOKUP(E230&amp;F230&amp;G230,'2.1 Electricidad'!$B$10:$B$138&amp;'2.1 Electricidad'!$C$10:$C$138&amp;'2.1 Electricidad'!$D$10:$D$138,'2.1 Electricidad'!$F$10:$F$138,"-")</f>
        <v>kgCO2e/GWh</v>
      </c>
      <c r="J230" s="764" t="str" cm="1">
        <f t="array" ref="J230">_xlfn.XLOOKUP(E230&amp;F230&amp;G230,'2.1 Electricidad'!$B$10:$B$138&amp;'2.1 Electricidad'!$C$10:$C$138&amp;'2.1 Electricidad'!$D$10:$D$138,'2.1 Electricidad'!$G$10:$G$138,"-")</f>
        <v>Energía Abierta (http://energiaabierta.cl/categorias-estadistica/sustentabilidad/)</v>
      </c>
      <c r="K230" s="764" t="s">
        <v>102</v>
      </c>
      <c r="L230" s="768" t="s">
        <v>102</v>
      </c>
    </row>
    <row r="231" spans="2:12" ht="43.2">
      <c r="B231" s="764" t="s">
        <v>198</v>
      </c>
      <c r="C231" s="764" t="s">
        <v>42</v>
      </c>
      <c r="D231" s="764" t="s">
        <v>198</v>
      </c>
      <c r="E231" s="764" t="s">
        <v>206</v>
      </c>
      <c r="F231" s="775">
        <v>2019</v>
      </c>
      <c r="G231" s="764" t="s">
        <v>202</v>
      </c>
      <c r="H231" s="765" cm="1">
        <f t="array" ref="H231">_xlfn.XLOOKUP(E231&amp;F231&amp;G231,'2.1 Electricidad'!$B$10:$B$138&amp;'2.1 Electricidad'!$C$10:$C$138&amp;'2.1 Electricidad'!$D$10:$D$138,'2.1 Electricidad'!$E$10:$E$138,"-")</f>
        <v>0.59566666999999995</v>
      </c>
      <c r="I231" s="764" t="str" cm="1">
        <f t="array" ref="I231">_xlfn.XLOOKUP(E231&amp;F231&amp;G231,'2.1 Electricidad'!$B$10:$B$138&amp;'2.1 Electricidad'!$C$10:$C$138&amp;'2.1 Electricidad'!$D$10:$D$138,'2.1 Electricidad'!$F$10:$F$138,"-")</f>
        <v>kgCO2e/kWh</v>
      </c>
      <c r="J231" s="764" t="str" cm="1">
        <f t="array" ref="J231">_xlfn.XLOOKUP(E231&amp;F231&amp;G231,'2.1 Electricidad'!$B$10:$B$138&amp;'2.1 Electricidad'!$C$10:$C$138&amp;'2.1 Electricidad'!$D$10:$D$138,'2.1 Electricidad'!$G$10:$G$138,"-")</f>
        <v>Energía Abierta (http://energiaabierta.cl/categorias-estadistica/sustentabilidad/)</v>
      </c>
      <c r="K231" s="764" t="s">
        <v>102</v>
      </c>
      <c r="L231" s="768" t="s">
        <v>102</v>
      </c>
    </row>
    <row r="232" spans="2:12" ht="43.2">
      <c r="B232" s="764" t="s">
        <v>198</v>
      </c>
      <c r="C232" s="764" t="s">
        <v>42</v>
      </c>
      <c r="D232" s="764" t="s">
        <v>198</v>
      </c>
      <c r="E232" s="764" t="s">
        <v>206</v>
      </c>
      <c r="F232" s="775">
        <v>2020</v>
      </c>
      <c r="G232" s="764" t="s">
        <v>200</v>
      </c>
      <c r="H232" s="765" cm="1">
        <f t="array" ref="H232">_xlfn.XLOOKUP(E232&amp;F232&amp;G232,'2.1 Electricidad'!$B$10:$B$138&amp;'2.1 Electricidad'!$C$10:$C$138&amp;'2.1 Electricidad'!$D$10:$D$138,'2.1 Electricidad'!$E$10:$E$138,"-")</f>
        <v>579.5</v>
      </c>
      <c r="I232" s="764" t="str" cm="1">
        <f t="array" ref="I232">_xlfn.XLOOKUP(E232&amp;F232&amp;G232,'2.1 Electricidad'!$B$10:$B$138&amp;'2.1 Electricidad'!$C$10:$C$138&amp;'2.1 Electricidad'!$D$10:$D$138,'2.1 Electricidad'!$F$10:$F$138,"-")</f>
        <v>kgCO2e/MWh</v>
      </c>
      <c r="J232" s="764" t="str" cm="1">
        <f t="array" ref="J232">_xlfn.XLOOKUP(E232&amp;F232&amp;G232,'2.1 Electricidad'!$B$10:$B$138&amp;'2.1 Electricidad'!$C$10:$C$138&amp;'2.1 Electricidad'!$D$10:$D$138,'2.1 Electricidad'!$G$10:$G$138,"-")</f>
        <v>Energía Abierta (http://energiaabierta.cl/categorias-estadistica/sustentabilidad/)</v>
      </c>
      <c r="K232" s="764" t="s">
        <v>102</v>
      </c>
      <c r="L232" s="768" t="s">
        <v>102</v>
      </c>
    </row>
    <row r="233" spans="2:12" ht="43.2">
      <c r="B233" s="764" t="s">
        <v>198</v>
      </c>
      <c r="C233" s="764" t="s">
        <v>42</v>
      </c>
      <c r="D233" s="764" t="s">
        <v>198</v>
      </c>
      <c r="E233" s="764" t="s">
        <v>206</v>
      </c>
      <c r="F233" s="775">
        <v>2020</v>
      </c>
      <c r="G233" s="764" t="s">
        <v>201</v>
      </c>
      <c r="H233" s="774" cm="1">
        <f t="array" ref="H233">_xlfn.XLOOKUP(E233&amp;F233&amp;G233,'2.1 Electricidad'!$B$10:$B$138&amp;'2.1 Electricidad'!$C$10:$C$138&amp;'2.1 Electricidad'!$D$10:$D$138,'2.1 Electricidad'!$E$10:$E$138,"-")</f>
        <v>579500</v>
      </c>
      <c r="I233" s="764" t="str" cm="1">
        <f t="array" ref="I233">_xlfn.XLOOKUP(E233&amp;F233&amp;G233,'2.1 Electricidad'!$B$10:$B$138&amp;'2.1 Electricidad'!$C$10:$C$138&amp;'2.1 Electricidad'!$D$10:$D$138,'2.1 Electricidad'!$F$10:$F$138,"-")</f>
        <v>kgCO2e/GWh</v>
      </c>
      <c r="J233" s="764" t="str" cm="1">
        <f t="array" ref="J233">_xlfn.XLOOKUP(E233&amp;F233&amp;G233,'2.1 Electricidad'!$B$10:$B$138&amp;'2.1 Electricidad'!$C$10:$C$138&amp;'2.1 Electricidad'!$D$10:$D$138,'2.1 Electricidad'!$G$10:$G$138,"-")</f>
        <v>Energía Abierta (http://energiaabierta.cl/categorias-estadistica/sustentabilidad/)</v>
      </c>
      <c r="K233" s="764" t="s">
        <v>102</v>
      </c>
      <c r="L233" s="768" t="s">
        <v>102</v>
      </c>
    </row>
    <row r="234" spans="2:12" ht="43.2">
      <c r="B234" s="764" t="s">
        <v>198</v>
      </c>
      <c r="C234" s="764" t="s">
        <v>42</v>
      </c>
      <c r="D234" s="764" t="s">
        <v>198</v>
      </c>
      <c r="E234" s="764" t="s">
        <v>206</v>
      </c>
      <c r="F234" s="775">
        <v>2020</v>
      </c>
      <c r="G234" s="764" t="s">
        <v>202</v>
      </c>
      <c r="H234" s="765" cm="1">
        <f t="array" ref="H234">_xlfn.XLOOKUP(E234&amp;F234&amp;G234,'2.1 Electricidad'!$B$10:$B$138&amp;'2.1 Electricidad'!$C$10:$C$138&amp;'2.1 Electricidad'!$D$10:$D$138,'2.1 Electricidad'!$E$10:$E$138,"-")</f>
        <v>0.57950000000000002</v>
      </c>
      <c r="I234" s="764" t="str" cm="1">
        <f t="array" ref="I234">_xlfn.XLOOKUP(E234&amp;F234&amp;G234,'2.1 Electricidad'!$B$10:$B$138&amp;'2.1 Electricidad'!$C$10:$C$138&amp;'2.1 Electricidad'!$D$10:$D$138,'2.1 Electricidad'!$F$10:$F$138,"-")</f>
        <v>kgCO2e/kWh</v>
      </c>
      <c r="J234" s="764" t="str" cm="1">
        <f t="array" ref="J234">_xlfn.XLOOKUP(E234&amp;F234&amp;G234,'2.1 Electricidad'!$B$10:$B$138&amp;'2.1 Electricidad'!$C$10:$C$138&amp;'2.1 Electricidad'!$D$10:$D$138,'2.1 Electricidad'!$G$10:$G$138,"-")</f>
        <v>Energía Abierta (http://energiaabierta.cl/categorias-estadistica/sustentabilidad/)</v>
      </c>
      <c r="K234" s="764" t="s">
        <v>102</v>
      </c>
      <c r="L234" s="768" t="s">
        <v>102</v>
      </c>
    </row>
    <row r="235" spans="2:12" ht="43.2">
      <c r="B235" s="764" t="s">
        <v>198</v>
      </c>
      <c r="C235" s="764" t="s">
        <v>42</v>
      </c>
      <c r="D235" s="764" t="s">
        <v>198</v>
      </c>
      <c r="E235" s="764" t="s">
        <v>206</v>
      </c>
      <c r="F235" s="775">
        <v>2021</v>
      </c>
      <c r="G235" s="764" t="s">
        <v>200</v>
      </c>
      <c r="H235" s="765" cm="1">
        <f t="array" ref="H235">_xlfn.XLOOKUP(E235&amp;F235&amp;G235,'2.1 Electricidad'!$B$10:$B$138&amp;'2.1 Electricidad'!$C$10:$C$138&amp;'2.1 Electricidad'!$D$10:$D$138,'2.1 Electricidad'!$E$10:$E$138,"-")</f>
        <v>557.25</v>
      </c>
      <c r="I235" s="764" t="str" cm="1">
        <f t="array" ref="I235">_xlfn.XLOOKUP(E235&amp;F235&amp;G235,'2.1 Electricidad'!$B$10:$B$138&amp;'2.1 Electricidad'!$C$10:$C$138&amp;'2.1 Electricidad'!$D$10:$D$138,'2.1 Electricidad'!$F$10:$F$138,"-")</f>
        <v>kgCO2e/MWh</v>
      </c>
      <c r="J235" s="764" t="str" cm="1">
        <f t="array" ref="J235">_xlfn.XLOOKUP(E235&amp;F235&amp;G235,'2.1 Electricidad'!$B$10:$B$138&amp;'2.1 Electricidad'!$C$10:$C$138&amp;'2.1 Electricidad'!$D$10:$D$138,'2.1 Electricidad'!$G$10:$G$138,"-")</f>
        <v>Energía Abierta (http://energiaabierta.cl/categorias-estadistica/sustentabilidad/)</v>
      </c>
      <c r="K235" s="764" t="s">
        <v>102</v>
      </c>
      <c r="L235" s="768" t="s">
        <v>102</v>
      </c>
    </row>
    <row r="236" spans="2:12" ht="43.2">
      <c r="B236" s="764" t="s">
        <v>198</v>
      </c>
      <c r="C236" s="764" t="s">
        <v>42</v>
      </c>
      <c r="D236" s="764" t="s">
        <v>198</v>
      </c>
      <c r="E236" s="764" t="s">
        <v>206</v>
      </c>
      <c r="F236" s="775">
        <v>2021</v>
      </c>
      <c r="G236" s="764" t="s">
        <v>201</v>
      </c>
      <c r="H236" s="774" cm="1">
        <f t="array" ref="H236">_xlfn.XLOOKUP(E236&amp;F236&amp;G236,'2.1 Electricidad'!$B$10:$B$138&amp;'2.1 Electricidad'!$C$10:$C$138&amp;'2.1 Electricidad'!$D$10:$D$138,'2.1 Electricidad'!$E$10:$E$138,"-")</f>
        <v>557250</v>
      </c>
      <c r="I236" s="764" t="str" cm="1">
        <f t="array" ref="I236">_xlfn.XLOOKUP(E236&amp;F236&amp;G236,'2.1 Electricidad'!$B$10:$B$138&amp;'2.1 Electricidad'!$C$10:$C$138&amp;'2.1 Electricidad'!$D$10:$D$138,'2.1 Electricidad'!$F$10:$F$138,"-")</f>
        <v>kgCO2e/GWh</v>
      </c>
      <c r="J236" s="764" t="str" cm="1">
        <f t="array" ref="J236">_xlfn.XLOOKUP(E236&amp;F236&amp;G236,'2.1 Electricidad'!$B$10:$B$138&amp;'2.1 Electricidad'!$C$10:$C$138&amp;'2.1 Electricidad'!$D$10:$D$138,'2.1 Electricidad'!$G$10:$G$138,"-")</f>
        <v>Energía Abierta (http://energiaabierta.cl/categorias-estadistica/sustentabilidad/)</v>
      </c>
      <c r="K236" s="764" t="s">
        <v>102</v>
      </c>
      <c r="L236" s="768" t="s">
        <v>102</v>
      </c>
    </row>
    <row r="237" spans="2:12" ht="43.2">
      <c r="B237" s="764" t="s">
        <v>198</v>
      </c>
      <c r="C237" s="764" t="s">
        <v>42</v>
      </c>
      <c r="D237" s="764" t="s">
        <v>198</v>
      </c>
      <c r="E237" s="764" t="s">
        <v>206</v>
      </c>
      <c r="F237" s="775">
        <v>2021</v>
      </c>
      <c r="G237" s="764" t="s">
        <v>202</v>
      </c>
      <c r="H237" s="765" cm="1">
        <f t="array" ref="H237">_xlfn.XLOOKUP(E237&amp;F237&amp;G237,'2.1 Electricidad'!$B$10:$B$138&amp;'2.1 Electricidad'!$C$10:$C$138&amp;'2.1 Electricidad'!$D$10:$D$138,'2.1 Electricidad'!$E$10:$E$138,"-")</f>
        <v>0.55725000000000002</v>
      </c>
      <c r="I237" s="764" t="str" cm="1">
        <f t="array" ref="I237">_xlfn.XLOOKUP(E237&amp;F237&amp;G237,'2.1 Electricidad'!$B$10:$B$138&amp;'2.1 Electricidad'!$C$10:$C$138&amp;'2.1 Electricidad'!$D$10:$D$138,'2.1 Electricidad'!$F$10:$F$138,"-")</f>
        <v>kgCO2e/kWh</v>
      </c>
      <c r="J237" s="764" t="str" cm="1">
        <f t="array" ref="J237">_xlfn.XLOOKUP(E237&amp;F237&amp;G237,'2.1 Electricidad'!$B$10:$B$138&amp;'2.1 Electricidad'!$C$10:$C$138&amp;'2.1 Electricidad'!$D$10:$D$138,'2.1 Electricidad'!$G$10:$G$138,"-")</f>
        <v>Energía Abierta (http://energiaabierta.cl/categorias-estadistica/sustentabilidad/)</v>
      </c>
      <c r="K237" s="764" t="s">
        <v>102</v>
      </c>
      <c r="L237" s="768" t="s">
        <v>102</v>
      </c>
    </row>
    <row r="238" spans="2:12" ht="43.2">
      <c r="B238" s="764" t="s">
        <v>198</v>
      </c>
      <c r="C238" s="764" t="s">
        <v>42</v>
      </c>
      <c r="D238" s="764" t="s">
        <v>198</v>
      </c>
      <c r="E238" s="764" t="s">
        <v>206</v>
      </c>
      <c r="F238" s="775">
        <v>2022</v>
      </c>
      <c r="G238" s="764" t="s">
        <v>200</v>
      </c>
      <c r="H238" s="765" cm="1">
        <f t="array" ref="H238">_xlfn.XLOOKUP(E238&amp;F238&amp;G238,'2.1 Electricidad'!$B$10:$B$138&amp;'2.1 Electricidad'!$C$10:$C$138&amp;'2.1 Electricidad'!$D$10:$D$138,'2.1 Electricidad'!$E$10:$E$138,"-")</f>
        <v>562.75</v>
      </c>
      <c r="I238" s="764" t="str" cm="1">
        <f t="array" ref="I238">_xlfn.XLOOKUP(E238&amp;F238&amp;G238,'2.1 Electricidad'!$B$10:$B$138&amp;'2.1 Electricidad'!$C$10:$C$138&amp;'2.1 Electricidad'!$D$10:$D$138,'2.1 Electricidad'!$F$10:$F$138,"-")</f>
        <v>kgCO2e/MWh</v>
      </c>
      <c r="J238" s="764" t="str" cm="1">
        <f t="array" ref="J238">_xlfn.XLOOKUP(E238&amp;F238&amp;G238,'2.1 Electricidad'!$B$10:$B$138&amp;'2.1 Electricidad'!$C$10:$C$138&amp;'2.1 Electricidad'!$D$10:$D$138,'2.1 Electricidad'!$G$10:$G$138,"-")</f>
        <v>Energía Abierta (http://energiaabierta.cl/categorias-estadistica/sustentabilidad/)</v>
      </c>
      <c r="K238" s="764" t="s">
        <v>102</v>
      </c>
      <c r="L238" s="768" t="s">
        <v>102</v>
      </c>
    </row>
    <row r="239" spans="2:12" ht="43.2">
      <c r="B239" s="764" t="s">
        <v>198</v>
      </c>
      <c r="C239" s="764" t="s">
        <v>42</v>
      </c>
      <c r="D239" s="764" t="s">
        <v>198</v>
      </c>
      <c r="E239" s="764" t="s">
        <v>206</v>
      </c>
      <c r="F239" s="775">
        <v>2022</v>
      </c>
      <c r="G239" s="764" t="s">
        <v>201</v>
      </c>
      <c r="H239" s="774" cm="1">
        <f t="array" ref="H239">_xlfn.XLOOKUP(E239&amp;F239&amp;G239,'2.1 Electricidad'!$B$10:$B$138&amp;'2.1 Electricidad'!$C$10:$C$138&amp;'2.1 Electricidad'!$D$10:$D$138,'2.1 Electricidad'!$E$10:$E$138,"-")</f>
        <v>562750</v>
      </c>
      <c r="I239" s="764" t="str" cm="1">
        <f t="array" ref="I239">_xlfn.XLOOKUP(E239&amp;F239&amp;G239,'2.1 Electricidad'!$B$10:$B$138&amp;'2.1 Electricidad'!$C$10:$C$138&amp;'2.1 Electricidad'!$D$10:$D$138,'2.1 Electricidad'!$F$10:$F$138,"-")</f>
        <v>kgCO2e/GWh</v>
      </c>
      <c r="J239" s="764" t="str" cm="1">
        <f t="array" ref="J239">_xlfn.XLOOKUP(E239&amp;F239&amp;G239,'2.1 Electricidad'!$B$10:$B$138&amp;'2.1 Electricidad'!$C$10:$C$138&amp;'2.1 Electricidad'!$D$10:$D$138,'2.1 Electricidad'!$G$10:$G$138,"-")</f>
        <v>Energía Abierta (http://energiaabierta.cl/categorias-estadistica/sustentabilidad/)</v>
      </c>
      <c r="K239" s="764" t="s">
        <v>102</v>
      </c>
      <c r="L239" s="768" t="s">
        <v>102</v>
      </c>
    </row>
    <row r="240" spans="2:12" ht="43.2">
      <c r="B240" s="764" t="s">
        <v>198</v>
      </c>
      <c r="C240" s="764" t="s">
        <v>42</v>
      </c>
      <c r="D240" s="764" t="s">
        <v>198</v>
      </c>
      <c r="E240" s="764" t="s">
        <v>206</v>
      </c>
      <c r="F240" s="775">
        <v>2022</v>
      </c>
      <c r="G240" s="764" t="s">
        <v>202</v>
      </c>
      <c r="H240" s="765" cm="1">
        <f t="array" ref="H240">_xlfn.XLOOKUP(E240&amp;F240&amp;G240,'2.1 Electricidad'!$B$10:$B$138&amp;'2.1 Electricidad'!$C$10:$C$138&amp;'2.1 Electricidad'!$D$10:$D$138,'2.1 Electricidad'!$E$10:$E$138,"-")</f>
        <v>0.56274999999999997</v>
      </c>
      <c r="I240" s="764" t="str" cm="1">
        <f t="array" ref="I240">_xlfn.XLOOKUP(E240&amp;F240&amp;G240,'2.1 Electricidad'!$B$10:$B$138&amp;'2.1 Electricidad'!$C$10:$C$138&amp;'2.1 Electricidad'!$D$10:$D$138,'2.1 Electricidad'!$F$10:$F$138,"-")</f>
        <v>kgCO2e/kWh</v>
      </c>
      <c r="J240" s="764" t="str" cm="1">
        <f t="array" ref="J240">_xlfn.XLOOKUP(E240&amp;F240&amp;G240,'2.1 Electricidad'!$B$10:$B$138&amp;'2.1 Electricidad'!$C$10:$C$138&amp;'2.1 Electricidad'!$D$10:$D$138,'2.1 Electricidad'!$G$10:$G$138,"-")</f>
        <v>Energía Abierta (http://energiaabierta.cl/categorias-estadistica/sustentabilidad/)</v>
      </c>
      <c r="K240" s="764" t="s">
        <v>102</v>
      </c>
      <c r="L240" s="768" t="s">
        <v>102</v>
      </c>
    </row>
    <row r="241" spans="2:12" ht="43.2">
      <c r="B241" s="764" t="s">
        <v>198</v>
      </c>
      <c r="C241" s="764" t="s">
        <v>42</v>
      </c>
      <c r="D241" s="764" t="s">
        <v>198</v>
      </c>
      <c r="E241" s="764" t="s">
        <v>206</v>
      </c>
      <c r="F241" s="775">
        <v>2023</v>
      </c>
      <c r="G241" s="764" t="s">
        <v>200</v>
      </c>
      <c r="H241" s="765" cm="1">
        <f t="array" ref="H241">_xlfn.XLOOKUP(E241&amp;F241&amp;G241,'2.1 Electricidad'!$B$10:$B$138&amp;'2.1 Electricidad'!$C$10:$C$138&amp;'2.1 Electricidad'!$D$10:$D$138,'2.1 Electricidad'!$E$10:$E$138,"-")</f>
        <v>592.83333000000005</v>
      </c>
      <c r="I241" s="764" t="str" cm="1">
        <f t="array" ref="I241">_xlfn.XLOOKUP(E241&amp;F241&amp;G241,'2.1 Electricidad'!$B$10:$B$138&amp;'2.1 Electricidad'!$C$10:$C$138&amp;'2.1 Electricidad'!$D$10:$D$138,'2.1 Electricidad'!$F$10:$F$138,"-")</f>
        <v>kgCO2e/MWh</v>
      </c>
      <c r="J241" s="764" t="str" cm="1">
        <f t="array" ref="J241">_xlfn.XLOOKUP(E241&amp;F241&amp;G241,'2.1 Electricidad'!$B$10:$B$138&amp;'2.1 Electricidad'!$C$10:$C$138&amp;'2.1 Electricidad'!$D$10:$D$138,'2.1 Electricidad'!$G$10:$G$138,"-")</f>
        <v>Energía Abierta (http://energiaabierta.cl/categorias-estadistica/sustentabilidad/)</v>
      </c>
      <c r="K241" s="764" t="s">
        <v>102</v>
      </c>
      <c r="L241" s="768" t="s">
        <v>102</v>
      </c>
    </row>
    <row r="242" spans="2:12" ht="43.2">
      <c r="B242" s="764" t="s">
        <v>198</v>
      </c>
      <c r="C242" s="764" t="s">
        <v>42</v>
      </c>
      <c r="D242" s="764" t="s">
        <v>198</v>
      </c>
      <c r="E242" s="764" t="s">
        <v>206</v>
      </c>
      <c r="F242" s="775">
        <v>2023</v>
      </c>
      <c r="G242" s="764" t="s">
        <v>201</v>
      </c>
      <c r="H242" s="774" cm="1">
        <f t="array" ref="H242">_xlfn.XLOOKUP(E242&amp;F242&amp;G242,'2.1 Electricidad'!$B$10:$B$138&amp;'2.1 Electricidad'!$C$10:$C$138&amp;'2.1 Electricidad'!$D$10:$D$138,'2.1 Electricidad'!$E$10:$E$138,"-")</f>
        <v>592833.33000000007</v>
      </c>
      <c r="I242" s="764" t="str" cm="1">
        <f t="array" ref="I242">_xlfn.XLOOKUP(E242&amp;F242&amp;G242,'2.1 Electricidad'!$B$10:$B$138&amp;'2.1 Electricidad'!$C$10:$C$138&amp;'2.1 Electricidad'!$D$10:$D$138,'2.1 Electricidad'!$F$10:$F$138,"-")</f>
        <v>kgCO2e/GWh</v>
      </c>
      <c r="J242" s="764" t="str" cm="1">
        <f t="array" ref="J242">_xlfn.XLOOKUP(E242&amp;F242&amp;G242,'2.1 Electricidad'!$B$10:$B$138&amp;'2.1 Electricidad'!$C$10:$C$138&amp;'2.1 Electricidad'!$D$10:$D$138,'2.1 Electricidad'!$G$10:$G$138,"-")</f>
        <v>Energía Abierta (http://energiaabierta.cl/categorias-estadistica/sustentabilidad/)</v>
      </c>
      <c r="K242" s="764" t="s">
        <v>102</v>
      </c>
      <c r="L242" s="768" t="s">
        <v>102</v>
      </c>
    </row>
    <row r="243" spans="2:12" ht="43.2">
      <c r="B243" s="764" t="s">
        <v>198</v>
      </c>
      <c r="C243" s="764" t="s">
        <v>42</v>
      </c>
      <c r="D243" s="764" t="s">
        <v>198</v>
      </c>
      <c r="E243" s="764" t="s">
        <v>206</v>
      </c>
      <c r="F243" s="775">
        <v>2023</v>
      </c>
      <c r="G243" s="764" t="s">
        <v>202</v>
      </c>
      <c r="H243" s="765" cm="1">
        <f t="array" ref="H243">_xlfn.XLOOKUP(E243&amp;F243&amp;G243,'2.1 Electricidad'!$B$10:$B$138&amp;'2.1 Electricidad'!$C$10:$C$138&amp;'2.1 Electricidad'!$D$10:$D$138,'2.1 Electricidad'!$E$10:$E$138,"-")</f>
        <v>0.59283333000000005</v>
      </c>
      <c r="I243" s="764" t="str" cm="1">
        <f t="array" ref="I243">_xlfn.XLOOKUP(E243&amp;F243&amp;G243,'2.1 Electricidad'!$B$10:$B$138&amp;'2.1 Electricidad'!$C$10:$C$138&amp;'2.1 Electricidad'!$D$10:$D$138,'2.1 Electricidad'!$F$10:$F$138,"-")</f>
        <v>kgCO2e/kWh</v>
      </c>
      <c r="J243" s="764" t="str" cm="1">
        <f t="array" ref="J243">_xlfn.XLOOKUP(E243&amp;F243&amp;G243,'2.1 Electricidad'!$B$10:$B$138&amp;'2.1 Electricidad'!$C$10:$C$138&amp;'2.1 Electricidad'!$D$10:$D$138,'2.1 Electricidad'!$G$10:$G$138,"-")</f>
        <v>Energía Abierta (http://energiaabierta.cl/categorias-estadistica/sustentabilidad/)</v>
      </c>
      <c r="K243" s="764" t="s">
        <v>102</v>
      </c>
      <c r="L243" s="768" t="s">
        <v>102</v>
      </c>
    </row>
    <row r="244" spans="2:12" ht="43.2">
      <c r="B244" s="764" t="s">
        <v>198</v>
      </c>
      <c r="C244" s="764" t="s">
        <v>42</v>
      </c>
      <c r="D244" s="764" t="s">
        <v>198</v>
      </c>
      <c r="E244" s="764" t="s">
        <v>206</v>
      </c>
      <c r="F244" s="775">
        <v>2024</v>
      </c>
      <c r="G244" s="764" t="s">
        <v>200</v>
      </c>
      <c r="H244" s="765" t="str" cm="1">
        <f t="array" ref="H244">_xlfn.XLOOKUP(E244&amp;F244&amp;G244,'2.1 Electricidad'!$B$10:$B$138&amp;'2.1 Electricidad'!$C$10:$C$138&amp;'2.1 Electricidad'!$D$10:$D$138,'2.1 Electricidad'!$E$10:$E$138,"-")</f>
        <v>PENDIENTE</v>
      </c>
      <c r="I244" s="764" t="str" cm="1">
        <f t="array" ref="I244">_xlfn.XLOOKUP(E244&amp;F244&amp;G244,'2.1 Electricidad'!$B$10:$B$138&amp;'2.1 Electricidad'!$C$10:$C$138&amp;'2.1 Electricidad'!$D$10:$D$138,'2.1 Electricidad'!$F$10:$F$138,"-")</f>
        <v>kgCO2e/MWh</v>
      </c>
      <c r="J244" s="764" t="str" cm="1">
        <f t="array" ref="J244">_xlfn.XLOOKUP(E244&amp;F244&amp;G244,'2.1 Electricidad'!$B$10:$B$138&amp;'2.1 Electricidad'!$C$10:$C$138&amp;'2.1 Electricidad'!$D$10:$D$138,'2.1 Electricidad'!$G$10:$G$138,"-")</f>
        <v>Energía Abierta (http://energiaabierta.cl/categorias-estadistica/sustentabilidad/)</v>
      </c>
      <c r="K244" s="764" t="s">
        <v>102</v>
      </c>
      <c r="L244" s="768" t="s">
        <v>102</v>
      </c>
    </row>
    <row r="245" spans="2:12" ht="43.2">
      <c r="B245" s="764" t="s">
        <v>198</v>
      </c>
      <c r="C245" s="764" t="s">
        <v>42</v>
      </c>
      <c r="D245" s="764" t="s">
        <v>198</v>
      </c>
      <c r="E245" s="764" t="s">
        <v>206</v>
      </c>
      <c r="F245" s="775">
        <v>2024</v>
      </c>
      <c r="G245" s="764" t="s">
        <v>201</v>
      </c>
      <c r="H245" s="765" t="str" cm="1">
        <f t="array" ref="H245">_xlfn.XLOOKUP(E245&amp;F245&amp;G245,'2.1 Electricidad'!$B$10:$B$138&amp;'2.1 Electricidad'!$C$10:$C$138&amp;'2.1 Electricidad'!$D$10:$D$138,'2.1 Electricidad'!$E$10:$E$138,"-")</f>
        <v>PENDIENTE</v>
      </c>
      <c r="I245" s="764" t="str" cm="1">
        <f t="array" ref="I245">_xlfn.XLOOKUP(E245&amp;F245&amp;G245,'2.1 Electricidad'!$B$10:$B$138&amp;'2.1 Electricidad'!$C$10:$C$138&amp;'2.1 Electricidad'!$D$10:$D$138,'2.1 Electricidad'!$F$10:$F$138,"-")</f>
        <v>kgCO2e/GWh</v>
      </c>
      <c r="J245" s="764" t="str" cm="1">
        <f t="array" ref="J245">_xlfn.XLOOKUP(E245&amp;F245&amp;G245,'2.1 Electricidad'!$B$10:$B$138&amp;'2.1 Electricidad'!$C$10:$C$138&amp;'2.1 Electricidad'!$D$10:$D$138,'2.1 Electricidad'!$G$10:$G$138,"-")</f>
        <v>Energía Abierta (http://energiaabierta.cl/categorias-estadistica/sustentabilidad/)</v>
      </c>
      <c r="K245" s="764" t="s">
        <v>102</v>
      </c>
      <c r="L245" s="768" t="s">
        <v>102</v>
      </c>
    </row>
    <row r="246" spans="2:12" ht="43.2">
      <c r="B246" s="764" t="s">
        <v>198</v>
      </c>
      <c r="C246" s="764" t="s">
        <v>42</v>
      </c>
      <c r="D246" s="764" t="s">
        <v>198</v>
      </c>
      <c r="E246" s="764" t="s">
        <v>206</v>
      </c>
      <c r="F246" s="775">
        <v>2024</v>
      </c>
      <c r="G246" s="764" t="s">
        <v>202</v>
      </c>
      <c r="H246" s="765" t="str" cm="1">
        <f t="array" ref="H246">_xlfn.XLOOKUP(E246&amp;F246&amp;G246,'2.1 Electricidad'!$B$10:$B$138&amp;'2.1 Electricidad'!$C$10:$C$138&amp;'2.1 Electricidad'!$D$10:$D$138,'2.1 Electricidad'!$E$10:$E$138,"-")</f>
        <v>PENDIENTE</v>
      </c>
      <c r="I246" s="764" t="str" cm="1">
        <f t="array" ref="I246">_xlfn.XLOOKUP(E246&amp;F246&amp;G246,'2.1 Electricidad'!$B$10:$B$138&amp;'2.1 Electricidad'!$C$10:$C$138&amp;'2.1 Electricidad'!$D$10:$D$138,'2.1 Electricidad'!$F$10:$F$138,"-")</f>
        <v>kgCO2e/kWh</v>
      </c>
      <c r="J246" s="764" t="str" cm="1">
        <f t="array" ref="J246">_xlfn.XLOOKUP(E246&amp;F246&amp;G246,'2.1 Electricidad'!$B$10:$B$138&amp;'2.1 Electricidad'!$C$10:$C$138&amp;'2.1 Electricidad'!$D$10:$D$138,'2.1 Electricidad'!$G$10:$G$138,"-")</f>
        <v>Energía Abierta (http://energiaabierta.cl/categorias-estadistica/sustentabilidad/)</v>
      </c>
      <c r="K246" s="764" t="s">
        <v>102</v>
      </c>
      <c r="L246" s="768" t="s">
        <v>102</v>
      </c>
    </row>
    <row r="247" spans="2:12" ht="43.2">
      <c r="B247" s="764" t="s">
        <v>198</v>
      </c>
      <c r="C247" s="764" t="s">
        <v>42</v>
      </c>
      <c r="D247" s="764" t="s">
        <v>198</v>
      </c>
      <c r="E247" s="764" t="s">
        <v>207</v>
      </c>
      <c r="F247" s="775">
        <v>2015</v>
      </c>
      <c r="G247" s="764" t="s">
        <v>200</v>
      </c>
      <c r="H247" s="765" cm="1">
        <f t="array" ref="H247">_xlfn.XLOOKUP(E247&amp;F247&amp;G247,'2.1 Electricidad'!$B$10:$B$138&amp;'2.1 Electricidad'!$C$10:$C$138&amp;'2.1 Electricidad'!$D$10:$D$138,'2.1 Electricidad'!$E$10:$E$138,"-")</f>
        <v>619</v>
      </c>
      <c r="I247" s="764" t="str" cm="1">
        <f t="array" ref="I247">_xlfn.XLOOKUP(E247&amp;F247&amp;G247,'2.1 Electricidad'!$B$10:$B$138&amp;'2.1 Electricidad'!$C$10:$C$138&amp;'2.1 Electricidad'!$D$10:$D$138,'2.1 Electricidad'!$F$10:$F$138,"-")</f>
        <v>kgCO2e/MWh</v>
      </c>
      <c r="J247" s="764" t="str" cm="1">
        <f t="array" ref="J247">_xlfn.XLOOKUP(E247&amp;F247&amp;G247,'2.1 Electricidad'!$B$10:$B$138&amp;'2.1 Electricidad'!$C$10:$C$138&amp;'2.1 Electricidad'!$D$10:$D$138,'2.1 Electricidad'!$G$10:$G$138,"-")</f>
        <v>Energía Abierta (http://energiaabierta.cl/categorias-estadistica/sustentabilidad/)</v>
      </c>
      <c r="K247" s="764" t="s">
        <v>102</v>
      </c>
      <c r="L247" s="768" t="s">
        <v>102</v>
      </c>
    </row>
    <row r="248" spans="2:12" ht="43.2">
      <c r="B248" s="764" t="s">
        <v>198</v>
      </c>
      <c r="C248" s="764" t="s">
        <v>42</v>
      </c>
      <c r="D248" s="764" t="s">
        <v>198</v>
      </c>
      <c r="E248" s="764" t="s">
        <v>207</v>
      </c>
      <c r="F248" s="775">
        <v>2015</v>
      </c>
      <c r="G248" s="764" t="s">
        <v>201</v>
      </c>
      <c r="H248" s="774" cm="1">
        <f t="array" ref="H248">_xlfn.XLOOKUP(E248&amp;F248&amp;G248,'2.1 Electricidad'!$B$10:$B$138&amp;'2.1 Electricidad'!$C$10:$C$138&amp;'2.1 Electricidad'!$D$10:$D$138,'2.1 Electricidad'!$E$10:$E$138,"-")</f>
        <v>619000</v>
      </c>
      <c r="I248" s="764" t="str" cm="1">
        <f t="array" ref="I248">_xlfn.XLOOKUP(E248&amp;F248&amp;G248,'2.1 Electricidad'!$B$10:$B$138&amp;'2.1 Electricidad'!$C$10:$C$138&amp;'2.1 Electricidad'!$D$10:$D$138,'2.1 Electricidad'!$F$10:$F$138,"-")</f>
        <v>kgCO2e/GWh</v>
      </c>
      <c r="J248" s="764" t="str" cm="1">
        <f t="array" ref="J248">_xlfn.XLOOKUP(E248&amp;F248&amp;G248,'2.1 Electricidad'!$B$10:$B$138&amp;'2.1 Electricidad'!$C$10:$C$138&amp;'2.1 Electricidad'!$D$10:$D$138,'2.1 Electricidad'!$G$10:$G$138,"-")</f>
        <v>Energía Abierta (http://energiaabierta.cl/categorias-estadistica/sustentabilidad/)</v>
      </c>
      <c r="K248" s="764" t="s">
        <v>102</v>
      </c>
      <c r="L248" s="768" t="s">
        <v>102</v>
      </c>
    </row>
    <row r="249" spans="2:12" ht="43.2">
      <c r="B249" s="764" t="s">
        <v>198</v>
      </c>
      <c r="C249" s="764" t="s">
        <v>42</v>
      </c>
      <c r="D249" s="764" t="s">
        <v>198</v>
      </c>
      <c r="E249" s="764" t="s">
        <v>207</v>
      </c>
      <c r="F249" s="775">
        <v>2015</v>
      </c>
      <c r="G249" s="764" t="s">
        <v>202</v>
      </c>
      <c r="H249" s="765" cm="1">
        <f t="array" ref="H249">_xlfn.XLOOKUP(E249&amp;F249&amp;G249,'2.1 Electricidad'!$B$10:$B$138&amp;'2.1 Electricidad'!$C$10:$C$138&amp;'2.1 Electricidad'!$D$10:$D$138,'2.1 Electricidad'!$E$10:$E$138,"-")</f>
        <v>0.61899999999999999</v>
      </c>
      <c r="I249" s="764" t="str" cm="1">
        <f t="array" ref="I249">_xlfn.XLOOKUP(E249&amp;F249&amp;G249,'2.1 Electricidad'!$B$10:$B$138&amp;'2.1 Electricidad'!$C$10:$C$138&amp;'2.1 Electricidad'!$D$10:$D$138,'2.1 Electricidad'!$F$10:$F$138,"-")</f>
        <v>kgCO2e/kWh</v>
      </c>
      <c r="J249" s="764" t="str" cm="1">
        <f t="array" ref="J249">_xlfn.XLOOKUP(E249&amp;F249&amp;G249,'2.1 Electricidad'!$B$10:$B$138&amp;'2.1 Electricidad'!$C$10:$C$138&amp;'2.1 Electricidad'!$D$10:$D$138,'2.1 Electricidad'!$G$10:$G$138,"-")</f>
        <v>Energía Abierta (http://energiaabierta.cl/categorias-estadistica/sustentabilidad/)</v>
      </c>
      <c r="K249" s="764" t="s">
        <v>102</v>
      </c>
      <c r="L249" s="768" t="s">
        <v>102</v>
      </c>
    </row>
    <row r="250" spans="2:12" ht="43.2">
      <c r="B250" s="764" t="s">
        <v>198</v>
      </c>
      <c r="C250" s="764" t="s">
        <v>42</v>
      </c>
      <c r="D250" s="764" t="s">
        <v>198</v>
      </c>
      <c r="E250" s="764" t="s">
        <v>207</v>
      </c>
      <c r="F250" s="775">
        <v>2016</v>
      </c>
      <c r="G250" s="764" t="s">
        <v>200</v>
      </c>
      <c r="H250" s="765" cm="1">
        <f t="array" ref="H250">_xlfn.XLOOKUP(E250&amp;F250&amp;G250,'2.1 Electricidad'!$B$10:$B$138&amp;'2.1 Electricidad'!$C$10:$C$138&amp;'2.1 Electricidad'!$D$10:$D$138,'2.1 Electricidad'!$E$10:$E$138,"-")</f>
        <v>608.41666999999995</v>
      </c>
      <c r="I250" s="764" t="str" cm="1">
        <f t="array" ref="I250">_xlfn.XLOOKUP(E250&amp;F250&amp;G250,'2.1 Electricidad'!$B$10:$B$138&amp;'2.1 Electricidad'!$C$10:$C$138&amp;'2.1 Electricidad'!$D$10:$D$138,'2.1 Electricidad'!$F$10:$F$138,"-")</f>
        <v>kgCO2e/MWh</v>
      </c>
      <c r="J250" s="764" t="str" cm="1">
        <f t="array" ref="J250">_xlfn.XLOOKUP(E250&amp;F250&amp;G250,'2.1 Electricidad'!$B$10:$B$138&amp;'2.1 Electricidad'!$C$10:$C$138&amp;'2.1 Electricidad'!$D$10:$D$138,'2.1 Electricidad'!$G$10:$G$138,"-")</f>
        <v>Energía Abierta (http://energiaabierta.cl/categorias-estadistica/sustentabilidad/)</v>
      </c>
      <c r="K250" s="764" t="s">
        <v>102</v>
      </c>
      <c r="L250" s="768" t="s">
        <v>102</v>
      </c>
    </row>
    <row r="251" spans="2:12" ht="43.2">
      <c r="B251" s="764" t="s">
        <v>198</v>
      </c>
      <c r="C251" s="764" t="s">
        <v>42</v>
      </c>
      <c r="D251" s="764" t="s">
        <v>198</v>
      </c>
      <c r="E251" s="764" t="s">
        <v>207</v>
      </c>
      <c r="F251" s="775">
        <v>2016</v>
      </c>
      <c r="G251" s="764" t="s">
        <v>201</v>
      </c>
      <c r="H251" s="774" cm="1">
        <f t="array" ref="H251">_xlfn.XLOOKUP(E251&amp;F251&amp;G251,'2.1 Electricidad'!$B$10:$B$138&amp;'2.1 Electricidad'!$C$10:$C$138&amp;'2.1 Electricidad'!$D$10:$D$138,'2.1 Electricidad'!$E$10:$E$138,"-")</f>
        <v>608416.66999999993</v>
      </c>
      <c r="I251" s="764" t="str" cm="1">
        <f t="array" ref="I251">_xlfn.XLOOKUP(E251&amp;F251&amp;G251,'2.1 Electricidad'!$B$10:$B$138&amp;'2.1 Electricidad'!$C$10:$C$138&amp;'2.1 Electricidad'!$D$10:$D$138,'2.1 Electricidad'!$F$10:$F$138,"-")</f>
        <v>kgCO2e/GWh</v>
      </c>
      <c r="J251" s="764" t="str" cm="1">
        <f t="array" ref="J251">_xlfn.XLOOKUP(E251&amp;F251&amp;G251,'2.1 Electricidad'!$B$10:$B$138&amp;'2.1 Electricidad'!$C$10:$C$138&amp;'2.1 Electricidad'!$D$10:$D$138,'2.1 Electricidad'!$G$10:$G$138,"-")</f>
        <v>Energía Abierta (http://energiaabierta.cl/categorias-estadistica/sustentabilidad/)</v>
      </c>
      <c r="K251" s="764" t="s">
        <v>102</v>
      </c>
      <c r="L251" s="768" t="s">
        <v>102</v>
      </c>
    </row>
    <row r="252" spans="2:12" ht="43.2">
      <c r="B252" s="764" t="s">
        <v>198</v>
      </c>
      <c r="C252" s="764" t="s">
        <v>42</v>
      </c>
      <c r="D252" s="764" t="s">
        <v>198</v>
      </c>
      <c r="E252" s="764" t="s">
        <v>207</v>
      </c>
      <c r="F252" s="775">
        <v>2016</v>
      </c>
      <c r="G252" s="764" t="s">
        <v>202</v>
      </c>
      <c r="H252" s="765" cm="1">
        <f t="array" ref="H252">_xlfn.XLOOKUP(E252&amp;F252&amp;G252,'2.1 Electricidad'!$B$10:$B$138&amp;'2.1 Electricidad'!$C$10:$C$138&amp;'2.1 Electricidad'!$D$10:$D$138,'2.1 Electricidad'!$E$10:$E$138,"-")</f>
        <v>0.60841666999999999</v>
      </c>
      <c r="I252" s="764" t="str" cm="1">
        <f t="array" ref="I252">_xlfn.XLOOKUP(E252&amp;F252&amp;G252,'2.1 Electricidad'!$B$10:$B$138&amp;'2.1 Electricidad'!$C$10:$C$138&amp;'2.1 Electricidad'!$D$10:$D$138,'2.1 Electricidad'!$F$10:$F$138,"-")</f>
        <v>kgCO2e/kWh</v>
      </c>
      <c r="J252" s="764" t="str" cm="1">
        <f t="array" ref="J252">_xlfn.XLOOKUP(E252&amp;F252&amp;G252,'2.1 Electricidad'!$B$10:$B$138&amp;'2.1 Electricidad'!$C$10:$C$138&amp;'2.1 Electricidad'!$D$10:$D$138,'2.1 Electricidad'!$G$10:$G$138,"-")</f>
        <v>Energía Abierta (http://energiaabierta.cl/categorias-estadistica/sustentabilidad/)</v>
      </c>
      <c r="K252" s="764" t="s">
        <v>102</v>
      </c>
      <c r="L252" s="768" t="s">
        <v>102</v>
      </c>
    </row>
    <row r="253" spans="2:12" ht="43.2">
      <c r="B253" s="764" t="s">
        <v>198</v>
      </c>
      <c r="C253" s="764" t="s">
        <v>42</v>
      </c>
      <c r="D253" s="764" t="s">
        <v>198</v>
      </c>
      <c r="E253" s="764" t="s">
        <v>207</v>
      </c>
      <c r="F253" s="775">
        <v>2017</v>
      </c>
      <c r="G253" s="764" t="s">
        <v>200</v>
      </c>
      <c r="H253" s="765" cm="1">
        <f t="array" ref="H253">_xlfn.XLOOKUP(E253&amp;F253&amp;G253,'2.1 Electricidad'!$B$10:$B$138&amp;'2.1 Electricidad'!$C$10:$C$138&amp;'2.1 Electricidad'!$D$10:$D$138,'2.1 Electricidad'!$E$10:$E$138,"-")</f>
        <v>557.08333000000005</v>
      </c>
      <c r="I253" s="764" t="str" cm="1">
        <f t="array" ref="I253">_xlfn.XLOOKUP(E253&amp;F253&amp;G253,'2.1 Electricidad'!$B$10:$B$138&amp;'2.1 Electricidad'!$C$10:$C$138&amp;'2.1 Electricidad'!$D$10:$D$138,'2.1 Electricidad'!$F$10:$F$138,"-")</f>
        <v>kgCO2e/MWh</v>
      </c>
      <c r="J253" s="764" t="str" cm="1">
        <f t="array" ref="J253">_xlfn.XLOOKUP(E253&amp;F253&amp;G253,'2.1 Electricidad'!$B$10:$B$138&amp;'2.1 Electricidad'!$C$10:$C$138&amp;'2.1 Electricidad'!$D$10:$D$138,'2.1 Electricidad'!$G$10:$G$138,"-")</f>
        <v>Energía Abierta (http://energiaabierta.cl/categorias-estadistica/sustentabilidad/)</v>
      </c>
      <c r="K253" s="764" t="s">
        <v>102</v>
      </c>
      <c r="L253" s="768" t="s">
        <v>102</v>
      </c>
    </row>
    <row r="254" spans="2:12" ht="43.2">
      <c r="B254" s="764" t="s">
        <v>198</v>
      </c>
      <c r="C254" s="764" t="s">
        <v>42</v>
      </c>
      <c r="D254" s="764" t="s">
        <v>198</v>
      </c>
      <c r="E254" s="764" t="s">
        <v>207</v>
      </c>
      <c r="F254" s="775">
        <v>2017</v>
      </c>
      <c r="G254" s="764" t="s">
        <v>201</v>
      </c>
      <c r="H254" s="774" cm="1">
        <f t="array" ref="H254">_xlfn.XLOOKUP(E254&amp;F254&amp;G254,'2.1 Electricidad'!$B$10:$B$138&amp;'2.1 Electricidad'!$C$10:$C$138&amp;'2.1 Electricidad'!$D$10:$D$138,'2.1 Electricidad'!$E$10:$E$138,"-")</f>
        <v>557083.33000000007</v>
      </c>
      <c r="I254" s="764" t="str" cm="1">
        <f t="array" ref="I254">_xlfn.XLOOKUP(E254&amp;F254&amp;G254,'2.1 Electricidad'!$B$10:$B$138&amp;'2.1 Electricidad'!$C$10:$C$138&amp;'2.1 Electricidad'!$D$10:$D$138,'2.1 Electricidad'!$F$10:$F$138,"-")</f>
        <v>kgCO2e/GWh</v>
      </c>
      <c r="J254" s="764" t="str" cm="1">
        <f t="array" ref="J254">_xlfn.XLOOKUP(E254&amp;F254&amp;G254,'2.1 Electricidad'!$B$10:$B$138&amp;'2.1 Electricidad'!$C$10:$C$138&amp;'2.1 Electricidad'!$D$10:$D$138,'2.1 Electricidad'!$G$10:$G$138,"-")</f>
        <v>Energía Abierta (http://energiaabierta.cl/categorias-estadistica/sustentabilidad/)</v>
      </c>
      <c r="K254" s="764" t="s">
        <v>102</v>
      </c>
      <c r="L254" s="768" t="s">
        <v>102</v>
      </c>
    </row>
    <row r="255" spans="2:12" ht="43.2">
      <c r="B255" s="764" t="s">
        <v>198</v>
      </c>
      <c r="C255" s="764" t="s">
        <v>42</v>
      </c>
      <c r="D255" s="764" t="s">
        <v>198</v>
      </c>
      <c r="E255" s="764" t="s">
        <v>207</v>
      </c>
      <c r="F255" s="775">
        <v>2017</v>
      </c>
      <c r="G255" s="764" t="s">
        <v>202</v>
      </c>
      <c r="H255" s="765" cm="1">
        <f t="array" ref="H255">_xlfn.XLOOKUP(E255&amp;F255&amp;G255,'2.1 Electricidad'!$B$10:$B$138&amp;'2.1 Electricidad'!$C$10:$C$138&amp;'2.1 Electricidad'!$D$10:$D$138,'2.1 Electricidad'!$E$10:$E$138,"-")</f>
        <v>0.5570833300000001</v>
      </c>
      <c r="I255" s="764" t="str" cm="1">
        <f t="array" ref="I255">_xlfn.XLOOKUP(E255&amp;F255&amp;G255,'2.1 Electricidad'!$B$10:$B$138&amp;'2.1 Electricidad'!$C$10:$C$138&amp;'2.1 Electricidad'!$D$10:$D$138,'2.1 Electricidad'!$F$10:$F$138,"-")</f>
        <v>kgCO2e/kWh</v>
      </c>
      <c r="J255" s="764" t="str" cm="1">
        <f t="array" ref="J255">_xlfn.XLOOKUP(E255&amp;F255&amp;G255,'2.1 Electricidad'!$B$10:$B$138&amp;'2.1 Electricidad'!$C$10:$C$138&amp;'2.1 Electricidad'!$D$10:$D$138,'2.1 Electricidad'!$G$10:$G$138,"-")</f>
        <v>Energía Abierta (http://energiaabierta.cl/categorias-estadistica/sustentabilidad/)</v>
      </c>
      <c r="K255" s="764" t="s">
        <v>102</v>
      </c>
      <c r="L255" s="768" t="s">
        <v>102</v>
      </c>
    </row>
    <row r="256" spans="2:12" ht="43.2">
      <c r="B256" s="764" t="s">
        <v>198</v>
      </c>
      <c r="C256" s="764" t="s">
        <v>42</v>
      </c>
      <c r="D256" s="764" t="s">
        <v>198</v>
      </c>
      <c r="E256" s="764" t="s">
        <v>207</v>
      </c>
      <c r="F256" s="775">
        <v>2018</v>
      </c>
      <c r="G256" s="764" t="s">
        <v>200</v>
      </c>
      <c r="H256" s="765" cm="1">
        <f t="array" ref="H256">_xlfn.XLOOKUP(E256&amp;F256&amp;G256,'2.1 Electricidad'!$B$10:$B$138&amp;'2.1 Electricidad'!$C$10:$C$138&amp;'2.1 Electricidad'!$D$10:$D$138,'2.1 Electricidad'!$E$10:$E$138,"-")</f>
        <v>555.08333330000005</v>
      </c>
      <c r="I256" s="764" t="str" cm="1">
        <f t="array" ref="I256">_xlfn.XLOOKUP(E256&amp;F256&amp;G256,'2.1 Electricidad'!$B$10:$B$138&amp;'2.1 Electricidad'!$C$10:$C$138&amp;'2.1 Electricidad'!$D$10:$D$138,'2.1 Electricidad'!$F$10:$F$138,"-")</f>
        <v>kgCO2e/MWh</v>
      </c>
      <c r="J256" s="764" t="str" cm="1">
        <f t="array" ref="J256">_xlfn.XLOOKUP(E256&amp;F256&amp;G256,'2.1 Electricidad'!$B$10:$B$138&amp;'2.1 Electricidad'!$C$10:$C$138&amp;'2.1 Electricidad'!$D$10:$D$138,'2.1 Electricidad'!$G$10:$G$138,"-")</f>
        <v>Energía Abierta (http://energiaabierta.cl/categorias-estadistica/sustentabilidad/)</v>
      </c>
      <c r="K256" s="764" t="s">
        <v>102</v>
      </c>
      <c r="L256" s="768" t="s">
        <v>102</v>
      </c>
    </row>
    <row r="257" spans="2:12" ht="43.2">
      <c r="B257" s="764" t="s">
        <v>198</v>
      </c>
      <c r="C257" s="764" t="s">
        <v>42</v>
      </c>
      <c r="D257" s="764" t="s">
        <v>198</v>
      </c>
      <c r="E257" s="764" t="s">
        <v>207</v>
      </c>
      <c r="F257" s="775">
        <v>2018</v>
      </c>
      <c r="G257" s="764" t="s">
        <v>201</v>
      </c>
      <c r="H257" s="774" cm="1">
        <f t="array" ref="H257">_xlfn.XLOOKUP(E257&amp;F257&amp;G257,'2.1 Electricidad'!$B$10:$B$138&amp;'2.1 Electricidad'!$C$10:$C$138&amp;'2.1 Electricidad'!$D$10:$D$138,'2.1 Electricidad'!$E$10:$E$138,"-")</f>
        <v>555083.33330000006</v>
      </c>
      <c r="I257" s="764" t="str" cm="1">
        <f t="array" ref="I257">_xlfn.XLOOKUP(E257&amp;F257&amp;G257,'2.1 Electricidad'!$B$10:$B$138&amp;'2.1 Electricidad'!$C$10:$C$138&amp;'2.1 Electricidad'!$D$10:$D$138,'2.1 Electricidad'!$F$10:$F$138,"-")</f>
        <v>kgCO2e/GWh</v>
      </c>
      <c r="J257" s="764" t="str" cm="1">
        <f t="array" ref="J257">_xlfn.XLOOKUP(E257&amp;F257&amp;G257,'2.1 Electricidad'!$B$10:$B$138&amp;'2.1 Electricidad'!$C$10:$C$138&amp;'2.1 Electricidad'!$D$10:$D$138,'2.1 Electricidad'!$G$10:$G$138,"-")</f>
        <v>Energía Abierta (http://energiaabierta.cl/categorias-estadistica/sustentabilidad/)</v>
      </c>
      <c r="K257" s="764" t="s">
        <v>102</v>
      </c>
      <c r="L257" s="768" t="s">
        <v>102</v>
      </c>
    </row>
    <row r="258" spans="2:12" ht="43.2">
      <c r="B258" s="764" t="s">
        <v>198</v>
      </c>
      <c r="C258" s="764" t="s">
        <v>42</v>
      </c>
      <c r="D258" s="764" t="s">
        <v>198</v>
      </c>
      <c r="E258" s="764" t="s">
        <v>207</v>
      </c>
      <c r="F258" s="775">
        <v>2018</v>
      </c>
      <c r="G258" s="764" t="s">
        <v>202</v>
      </c>
      <c r="H258" s="765" cm="1">
        <f t="array" ref="H258">_xlfn.XLOOKUP(E258&amp;F258&amp;G258,'2.1 Electricidad'!$B$10:$B$138&amp;'2.1 Electricidad'!$C$10:$C$138&amp;'2.1 Electricidad'!$D$10:$D$138,'2.1 Electricidad'!$E$10:$E$138,"-")</f>
        <v>0.55508333330000004</v>
      </c>
      <c r="I258" s="764" t="str" cm="1">
        <f t="array" ref="I258">_xlfn.XLOOKUP(E258&amp;F258&amp;G258,'2.1 Electricidad'!$B$10:$B$138&amp;'2.1 Electricidad'!$C$10:$C$138&amp;'2.1 Electricidad'!$D$10:$D$138,'2.1 Electricidad'!$F$10:$F$138,"-")</f>
        <v>kgCO2e/kWh</v>
      </c>
      <c r="J258" s="764" t="str" cm="1">
        <f t="array" ref="J258">_xlfn.XLOOKUP(E258&amp;F258&amp;G258,'2.1 Electricidad'!$B$10:$B$138&amp;'2.1 Electricidad'!$C$10:$C$138&amp;'2.1 Electricidad'!$D$10:$D$138,'2.1 Electricidad'!$G$10:$G$138,"-")</f>
        <v>Energía Abierta (http://energiaabierta.cl/categorias-estadistica/sustentabilidad/)</v>
      </c>
      <c r="K258" s="764" t="s">
        <v>102</v>
      </c>
      <c r="L258" s="768" t="s">
        <v>102</v>
      </c>
    </row>
    <row r="259" spans="2:12" ht="43.2">
      <c r="B259" s="764" t="s">
        <v>198</v>
      </c>
      <c r="C259" s="764" t="s">
        <v>42</v>
      </c>
      <c r="D259" s="764" t="s">
        <v>198</v>
      </c>
      <c r="E259" s="764" t="s">
        <v>207</v>
      </c>
      <c r="F259" s="775">
        <v>2019</v>
      </c>
      <c r="G259" s="764" t="s">
        <v>200</v>
      </c>
      <c r="H259" s="765" cm="1">
        <f t="array" ref="H259">_xlfn.XLOOKUP(E259&amp;F259&amp;G259,'2.1 Electricidad'!$B$10:$B$138&amp;'2.1 Electricidad'!$C$10:$C$138&amp;'2.1 Electricidad'!$D$10:$D$138,'2.1 Electricidad'!$E$10:$E$138,"-")</f>
        <v>517.33333330000005</v>
      </c>
      <c r="I259" s="764" t="str" cm="1">
        <f t="array" ref="I259">_xlfn.XLOOKUP(E259&amp;F259&amp;G259,'2.1 Electricidad'!$B$10:$B$138&amp;'2.1 Electricidad'!$C$10:$C$138&amp;'2.1 Electricidad'!$D$10:$D$138,'2.1 Electricidad'!$F$10:$F$138,"-")</f>
        <v>kgCO2e/MWh</v>
      </c>
      <c r="J259" s="764" t="str" cm="1">
        <f t="array" ref="J259">_xlfn.XLOOKUP(E259&amp;F259&amp;G259,'2.1 Electricidad'!$B$10:$B$138&amp;'2.1 Electricidad'!$C$10:$C$138&amp;'2.1 Electricidad'!$D$10:$D$138,'2.1 Electricidad'!$G$10:$G$138,"-")</f>
        <v>Energía Abierta (http://energiaabierta.cl/categorias-estadistica/sustentabilidad/)</v>
      </c>
      <c r="K259" s="764" t="s">
        <v>102</v>
      </c>
      <c r="L259" s="768" t="s">
        <v>102</v>
      </c>
    </row>
    <row r="260" spans="2:12" ht="43.2">
      <c r="B260" s="764" t="s">
        <v>198</v>
      </c>
      <c r="C260" s="764" t="s">
        <v>42</v>
      </c>
      <c r="D260" s="764" t="s">
        <v>198</v>
      </c>
      <c r="E260" s="764" t="s">
        <v>207</v>
      </c>
      <c r="F260" s="775">
        <v>2019</v>
      </c>
      <c r="G260" s="764" t="s">
        <v>201</v>
      </c>
      <c r="H260" s="774" cm="1">
        <f t="array" ref="H260">_xlfn.XLOOKUP(E260&amp;F260&amp;G260,'2.1 Electricidad'!$B$10:$B$138&amp;'2.1 Electricidad'!$C$10:$C$138&amp;'2.1 Electricidad'!$D$10:$D$138,'2.1 Electricidad'!$E$10:$E$138,"-")</f>
        <v>517333.33330000006</v>
      </c>
      <c r="I260" s="764" t="str" cm="1">
        <f t="array" ref="I260">_xlfn.XLOOKUP(E260&amp;F260&amp;G260,'2.1 Electricidad'!$B$10:$B$138&amp;'2.1 Electricidad'!$C$10:$C$138&amp;'2.1 Electricidad'!$D$10:$D$138,'2.1 Electricidad'!$F$10:$F$138,"-")</f>
        <v>kgCO2e/GWh</v>
      </c>
      <c r="J260" s="764" t="str" cm="1">
        <f t="array" ref="J260">_xlfn.XLOOKUP(E260&amp;F260&amp;G260,'2.1 Electricidad'!$B$10:$B$138&amp;'2.1 Electricidad'!$C$10:$C$138&amp;'2.1 Electricidad'!$D$10:$D$138,'2.1 Electricidad'!$G$10:$G$138,"-")</f>
        <v>Energía Abierta (http://energiaabierta.cl/categorias-estadistica/sustentabilidad/)</v>
      </c>
      <c r="K260" s="764" t="s">
        <v>102</v>
      </c>
      <c r="L260" s="768" t="s">
        <v>102</v>
      </c>
    </row>
    <row r="261" spans="2:12" ht="43.2">
      <c r="B261" s="764" t="s">
        <v>198</v>
      </c>
      <c r="C261" s="764" t="s">
        <v>42</v>
      </c>
      <c r="D261" s="764" t="s">
        <v>198</v>
      </c>
      <c r="E261" s="764" t="s">
        <v>207</v>
      </c>
      <c r="F261" s="775">
        <v>2019</v>
      </c>
      <c r="G261" s="764" t="s">
        <v>202</v>
      </c>
      <c r="H261" s="765" cm="1">
        <f t="array" ref="H261">_xlfn.XLOOKUP(E261&amp;F261&amp;G261,'2.1 Electricidad'!$B$10:$B$138&amp;'2.1 Electricidad'!$C$10:$C$138&amp;'2.1 Electricidad'!$D$10:$D$138,'2.1 Electricidad'!$E$10:$E$138,"-")</f>
        <v>0.51733333330000009</v>
      </c>
      <c r="I261" s="764" t="str" cm="1">
        <f t="array" ref="I261">_xlfn.XLOOKUP(E261&amp;F261&amp;G261,'2.1 Electricidad'!$B$10:$B$138&amp;'2.1 Electricidad'!$C$10:$C$138&amp;'2.1 Electricidad'!$D$10:$D$138,'2.1 Electricidad'!$F$10:$F$138,"-")</f>
        <v>kgCO2e/kWh</v>
      </c>
      <c r="J261" s="764" t="str" cm="1">
        <f t="array" ref="J261">_xlfn.XLOOKUP(E261&amp;F261&amp;G261,'2.1 Electricidad'!$B$10:$B$138&amp;'2.1 Electricidad'!$C$10:$C$138&amp;'2.1 Electricidad'!$D$10:$D$138,'2.1 Electricidad'!$G$10:$G$138,"-")</f>
        <v>Energía Abierta (http://energiaabierta.cl/categorias-estadistica/sustentabilidad/)</v>
      </c>
      <c r="K261" s="764" t="s">
        <v>102</v>
      </c>
      <c r="L261" s="768" t="s">
        <v>102</v>
      </c>
    </row>
    <row r="262" spans="2:12" ht="43.2">
      <c r="B262" s="764" t="s">
        <v>198</v>
      </c>
      <c r="C262" s="764" t="s">
        <v>42</v>
      </c>
      <c r="D262" s="764" t="s">
        <v>198</v>
      </c>
      <c r="E262" s="764" t="s">
        <v>207</v>
      </c>
      <c r="F262" s="775">
        <v>2020</v>
      </c>
      <c r="G262" s="764" t="s">
        <v>200</v>
      </c>
      <c r="H262" s="765" cm="1">
        <f t="array" ref="H262">_xlfn.XLOOKUP(E262&amp;F262&amp;G262,'2.1 Electricidad'!$B$10:$B$138&amp;'2.1 Electricidad'!$C$10:$C$138&amp;'2.1 Electricidad'!$D$10:$D$138,'2.1 Electricidad'!$E$10:$E$138,"-")</f>
        <v>478.16666670000001</v>
      </c>
      <c r="I262" s="764" t="str" cm="1">
        <f t="array" ref="I262">_xlfn.XLOOKUP(E262&amp;F262&amp;G262,'2.1 Electricidad'!$B$10:$B$138&amp;'2.1 Electricidad'!$C$10:$C$138&amp;'2.1 Electricidad'!$D$10:$D$138,'2.1 Electricidad'!$F$10:$F$138,"-")</f>
        <v>kgCO2e/MWh</v>
      </c>
      <c r="J262" s="764" t="str" cm="1">
        <f t="array" ref="J262">_xlfn.XLOOKUP(E262&amp;F262&amp;G262,'2.1 Electricidad'!$B$10:$B$138&amp;'2.1 Electricidad'!$C$10:$C$138&amp;'2.1 Electricidad'!$D$10:$D$138,'2.1 Electricidad'!$G$10:$G$138,"-")</f>
        <v>Energía Abierta (http://energiaabierta.cl/categorias-estadistica/sustentabilidad/)</v>
      </c>
      <c r="K262" s="764" t="s">
        <v>102</v>
      </c>
      <c r="L262" s="768" t="s">
        <v>102</v>
      </c>
    </row>
    <row r="263" spans="2:12" ht="43.2">
      <c r="B263" s="764" t="s">
        <v>198</v>
      </c>
      <c r="C263" s="764" t="s">
        <v>42</v>
      </c>
      <c r="D263" s="764" t="s">
        <v>198</v>
      </c>
      <c r="E263" s="764" t="s">
        <v>207</v>
      </c>
      <c r="F263" s="775">
        <v>2020</v>
      </c>
      <c r="G263" s="764" t="s">
        <v>201</v>
      </c>
      <c r="H263" s="774" cm="1">
        <f t="array" ref="H263">_xlfn.XLOOKUP(E263&amp;F263&amp;G263,'2.1 Electricidad'!$B$10:$B$138&amp;'2.1 Electricidad'!$C$10:$C$138&amp;'2.1 Electricidad'!$D$10:$D$138,'2.1 Electricidad'!$E$10:$E$138,"-")</f>
        <v>478166.6667</v>
      </c>
      <c r="I263" s="764" t="str" cm="1">
        <f t="array" ref="I263">_xlfn.XLOOKUP(E263&amp;F263&amp;G263,'2.1 Electricidad'!$B$10:$B$138&amp;'2.1 Electricidad'!$C$10:$C$138&amp;'2.1 Electricidad'!$D$10:$D$138,'2.1 Electricidad'!$F$10:$F$138,"-")</f>
        <v>kgCO2e/GWh</v>
      </c>
      <c r="J263" s="764" t="str" cm="1">
        <f t="array" ref="J263">_xlfn.XLOOKUP(E263&amp;F263&amp;G263,'2.1 Electricidad'!$B$10:$B$138&amp;'2.1 Electricidad'!$C$10:$C$138&amp;'2.1 Electricidad'!$D$10:$D$138,'2.1 Electricidad'!$G$10:$G$138,"-")</f>
        <v>Energía Abierta (http://energiaabierta.cl/categorias-estadistica/sustentabilidad/)</v>
      </c>
      <c r="K263" s="764" t="s">
        <v>102</v>
      </c>
      <c r="L263" s="768" t="s">
        <v>102</v>
      </c>
    </row>
    <row r="264" spans="2:12" ht="43.2">
      <c r="B264" s="764" t="s">
        <v>198</v>
      </c>
      <c r="C264" s="764" t="s">
        <v>42</v>
      </c>
      <c r="D264" s="764" t="s">
        <v>198</v>
      </c>
      <c r="E264" s="764" t="s">
        <v>207</v>
      </c>
      <c r="F264" s="775">
        <v>2020</v>
      </c>
      <c r="G264" s="764" t="s">
        <v>202</v>
      </c>
      <c r="H264" s="765" cm="1">
        <f t="array" ref="H264">_xlfn.XLOOKUP(E264&amp;F264&amp;G264,'2.1 Electricidad'!$B$10:$B$138&amp;'2.1 Electricidad'!$C$10:$C$138&amp;'2.1 Electricidad'!$D$10:$D$138,'2.1 Electricidad'!$E$10:$E$138,"-")</f>
        <v>0.47816666670000002</v>
      </c>
      <c r="I264" s="764" t="str" cm="1">
        <f t="array" ref="I264">_xlfn.XLOOKUP(E264&amp;F264&amp;G264,'2.1 Electricidad'!$B$10:$B$138&amp;'2.1 Electricidad'!$C$10:$C$138&amp;'2.1 Electricidad'!$D$10:$D$138,'2.1 Electricidad'!$F$10:$F$138,"-")</f>
        <v>kgCO2e/kWh</v>
      </c>
      <c r="J264" s="764" t="str" cm="1">
        <f t="array" ref="J264">_xlfn.XLOOKUP(E264&amp;F264&amp;G264,'2.1 Electricidad'!$B$10:$B$138&amp;'2.1 Electricidad'!$C$10:$C$138&amp;'2.1 Electricidad'!$D$10:$D$138,'2.1 Electricidad'!$G$10:$G$138,"-")</f>
        <v>Energía Abierta (http://energiaabierta.cl/categorias-estadistica/sustentabilidad/)</v>
      </c>
      <c r="K264" s="764" t="s">
        <v>102</v>
      </c>
      <c r="L264" s="768" t="s">
        <v>102</v>
      </c>
    </row>
    <row r="265" spans="2:12" ht="43.2">
      <c r="B265" s="764" t="s">
        <v>198</v>
      </c>
      <c r="C265" s="764" t="s">
        <v>42</v>
      </c>
      <c r="D265" s="764" t="s">
        <v>198</v>
      </c>
      <c r="E265" s="764" t="s">
        <v>207</v>
      </c>
      <c r="F265" s="775">
        <v>2021</v>
      </c>
      <c r="G265" s="764" t="s">
        <v>200</v>
      </c>
      <c r="H265" s="765" cm="1">
        <f t="array" ref="H265">_xlfn.XLOOKUP(E265&amp;F265&amp;G265,'2.1 Electricidad'!$B$10:$B$138&amp;'2.1 Electricidad'!$C$10:$C$138&amp;'2.1 Electricidad'!$D$10:$D$138,'2.1 Electricidad'!$E$10:$E$138,"-")</f>
        <v>555.25</v>
      </c>
      <c r="I265" s="764" t="str" cm="1">
        <f t="array" ref="I265">_xlfn.XLOOKUP(E265&amp;F265&amp;G265,'2.1 Electricidad'!$B$10:$B$138&amp;'2.1 Electricidad'!$C$10:$C$138&amp;'2.1 Electricidad'!$D$10:$D$138,'2.1 Electricidad'!$F$10:$F$138,"-")</f>
        <v>kgCO2e/MWh</v>
      </c>
      <c r="J265" s="764" t="str" cm="1">
        <f t="array" ref="J265">_xlfn.XLOOKUP(E265&amp;F265&amp;G265,'2.1 Electricidad'!$B$10:$B$138&amp;'2.1 Electricidad'!$C$10:$C$138&amp;'2.1 Electricidad'!$D$10:$D$138,'2.1 Electricidad'!$G$10:$G$138,"-")</f>
        <v>Energía Abierta (http://energiaabierta.cl/categorias-estadistica/sustentabilidad/)</v>
      </c>
      <c r="K265" s="764" t="s">
        <v>102</v>
      </c>
      <c r="L265" s="768" t="s">
        <v>102</v>
      </c>
    </row>
    <row r="266" spans="2:12" ht="43.2">
      <c r="B266" s="764" t="s">
        <v>198</v>
      </c>
      <c r="C266" s="764" t="s">
        <v>42</v>
      </c>
      <c r="D266" s="764" t="s">
        <v>198</v>
      </c>
      <c r="E266" s="764" t="s">
        <v>207</v>
      </c>
      <c r="F266" s="775">
        <v>2021</v>
      </c>
      <c r="G266" s="764" t="s">
        <v>201</v>
      </c>
      <c r="H266" s="774" cm="1">
        <f t="array" ref="H266">_xlfn.XLOOKUP(E266&amp;F266&amp;G266,'2.1 Electricidad'!$B$10:$B$138&amp;'2.1 Electricidad'!$C$10:$C$138&amp;'2.1 Electricidad'!$D$10:$D$138,'2.1 Electricidad'!$E$10:$E$138,"-")</f>
        <v>555250</v>
      </c>
      <c r="I266" s="764" t="str" cm="1">
        <f t="array" ref="I266">_xlfn.XLOOKUP(E266&amp;F266&amp;G266,'2.1 Electricidad'!$B$10:$B$138&amp;'2.1 Electricidad'!$C$10:$C$138&amp;'2.1 Electricidad'!$D$10:$D$138,'2.1 Electricidad'!$F$10:$F$138,"-")</f>
        <v>kgCO2e/GWh</v>
      </c>
      <c r="J266" s="764" t="str" cm="1">
        <f t="array" ref="J266">_xlfn.XLOOKUP(E266&amp;F266&amp;G266,'2.1 Electricidad'!$B$10:$B$138&amp;'2.1 Electricidad'!$C$10:$C$138&amp;'2.1 Electricidad'!$D$10:$D$138,'2.1 Electricidad'!$G$10:$G$138,"-")</f>
        <v>Energía Abierta (http://energiaabierta.cl/categorias-estadistica/sustentabilidad/)</v>
      </c>
      <c r="K266" s="764" t="s">
        <v>102</v>
      </c>
      <c r="L266" s="768" t="s">
        <v>102</v>
      </c>
    </row>
    <row r="267" spans="2:12" ht="43.2">
      <c r="B267" s="764" t="s">
        <v>198</v>
      </c>
      <c r="C267" s="764" t="s">
        <v>42</v>
      </c>
      <c r="D267" s="764" t="s">
        <v>198</v>
      </c>
      <c r="E267" s="764" t="s">
        <v>207</v>
      </c>
      <c r="F267" s="775">
        <v>2021</v>
      </c>
      <c r="G267" s="764" t="s">
        <v>202</v>
      </c>
      <c r="H267" s="765" cm="1">
        <f t="array" ref="H267">_xlfn.XLOOKUP(E267&amp;F267&amp;G267,'2.1 Electricidad'!$B$10:$B$138&amp;'2.1 Electricidad'!$C$10:$C$138&amp;'2.1 Electricidad'!$D$10:$D$138,'2.1 Electricidad'!$E$10:$E$138,"-")</f>
        <v>0.55525000000000002</v>
      </c>
      <c r="I267" s="764" t="str" cm="1">
        <f t="array" ref="I267">_xlfn.XLOOKUP(E267&amp;F267&amp;G267,'2.1 Electricidad'!$B$10:$B$138&amp;'2.1 Electricidad'!$C$10:$C$138&amp;'2.1 Electricidad'!$D$10:$D$138,'2.1 Electricidad'!$F$10:$F$138,"-")</f>
        <v>kgCO2e/kWh</v>
      </c>
      <c r="J267" s="764" t="str" cm="1">
        <f t="array" ref="J267">_xlfn.XLOOKUP(E267&amp;F267&amp;G267,'2.1 Electricidad'!$B$10:$B$138&amp;'2.1 Electricidad'!$C$10:$C$138&amp;'2.1 Electricidad'!$D$10:$D$138,'2.1 Electricidad'!$G$10:$G$138,"-")</f>
        <v>Energía Abierta (http://energiaabierta.cl/categorias-estadistica/sustentabilidad/)</v>
      </c>
      <c r="K267" s="764" t="s">
        <v>102</v>
      </c>
      <c r="L267" s="768" t="s">
        <v>102</v>
      </c>
    </row>
    <row r="268" spans="2:12" ht="43.2">
      <c r="B268" s="764" t="s">
        <v>198</v>
      </c>
      <c r="C268" s="764" t="s">
        <v>42</v>
      </c>
      <c r="D268" s="764" t="s">
        <v>198</v>
      </c>
      <c r="E268" s="764" t="s">
        <v>207</v>
      </c>
      <c r="F268" s="775">
        <v>2022</v>
      </c>
      <c r="G268" s="764" t="s">
        <v>200</v>
      </c>
      <c r="H268" s="765" cm="1">
        <f t="array" ref="H268">_xlfn.XLOOKUP(E268&amp;F268&amp;G268,'2.1 Electricidad'!$B$10:$B$138&amp;'2.1 Electricidad'!$C$10:$C$138&amp;'2.1 Electricidad'!$D$10:$D$138,'2.1 Electricidad'!$E$10:$E$138,"-")</f>
        <v>625.08333332999996</v>
      </c>
      <c r="I268" s="764" t="str" cm="1">
        <f t="array" ref="I268">_xlfn.XLOOKUP(E268&amp;F268&amp;G268,'2.1 Electricidad'!$B$10:$B$138&amp;'2.1 Electricidad'!$C$10:$C$138&amp;'2.1 Electricidad'!$D$10:$D$138,'2.1 Electricidad'!$F$10:$F$138,"-")</f>
        <v>kgCO2e/MWh</v>
      </c>
      <c r="J268" s="764" t="str" cm="1">
        <f t="array" ref="J268">_xlfn.XLOOKUP(E268&amp;F268&amp;G268,'2.1 Electricidad'!$B$10:$B$138&amp;'2.1 Electricidad'!$C$10:$C$138&amp;'2.1 Electricidad'!$D$10:$D$138,'2.1 Electricidad'!$G$10:$G$138,"-")</f>
        <v>Energía Abierta (http://energiaabierta.cl/categorias-estadistica/sustentabilidad/)</v>
      </c>
      <c r="K268" s="764" t="s">
        <v>102</v>
      </c>
      <c r="L268" s="768" t="s">
        <v>102</v>
      </c>
    </row>
    <row r="269" spans="2:12" ht="43.2">
      <c r="B269" s="764" t="s">
        <v>198</v>
      </c>
      <c r="C269" s="764" t="s">
        <v>42</v>
      </c>
      <c r="D269" s="764" t="s">
        <v>198</v>
      </c>
      <c r="E269" s="764" t="s">
        <v>207</v>
      </c>
      <c r="F269" s="775">
        <v>2022</v>
      </c>
      <c r="G269" s="764" t="s">
        <v>201</v>
      </c>
      <c r="H269" s="774" cm="1">
        <f t="array" ref="H269">_xlfn.XLOOKUP(E269&amp;F269&amp;G269,'2.1 Electricidad'!$B$10:$B$138&amp;'2.1 Electricidad'!$C$10:$C$138&amp;'2.1 Electricidad'!$D$10:$D$138,'2.1 Electricidad'!$E$10:$E$138,"-")</f>
        <v>625083.33332999994</v>
      </c>
      <c r="I269" s="764" t="str" cm="1">
        <f t="array" ref="I269">_xlfn.XLOOKUP(E269&amp;F269&amp;G269,'2.1 Electricidad'!$B$10:$B$138&amp;'2.1 Electricidad'!$C$10:$C$138&amp;'2.1 Electricidad'!$D$10:$D$138,'2.1 Electricidad'!$F$10:$F$138,"-")</f>
        <v>kgCO2e/GWh</v>
      </c>
      <c r="J269" s="764" t="str" cm="1">
        <f t="array" ref="J269">_xlfn.XLOOKUP(E269&amp;F269&amp;G269,'2.1 Electricidad'!$B$10:$B$138&amp;'2.1 Electricidad'!$C$10:$C$138&amp;'2.1 Electricidad'!$D$10:$D$138,'2.1 Electricidad'!$G$10:$G$138,"-")</f>
        <v>Energía Abierta (http://energiaabierta.cl/categorias-estadistica/sustentabilidad/)</v>
      </c>
      <c r="K269" s="764" t="s">
        <v>102</v>
      </c>
      <c r="L269" s="768" t="s">
        <v>102</v>
      </c>
    </row>
    <row r="270" spans="2:12" ht="43.2">
      <c r="B270" s="764" t="s">
        <v>198</v>
      </c>
      <c r="C270" s="764" t="s">
        <v>42</v>
      </c>
      <c r="D270" s="764" t="s">
        <v>198</v>
      </c>
      <c r="E270" s="764" t="s">
        <v>207</v>
      </c>
      <c r="F270" s="775">
        <v>2022</v>
      </c>
      <c r="G270" s="764" t="s">
        <v>202</v>
      </c>
      <c r="H270" s="765" cm="1">
        <f t="array" ref="H270">_xlfn.XLOOKUP(E270&amp;F270&amp;G270,'2.1 Electricidad'!$B$10:$B$138&amp;'2.1 Electricidad'!$C$10:$C$138&amp;'2.1 Electricidad'!$D$10:$D$138,'2.1 Electricidad'!$E$10:$E$138,"-")</f>
        <v>0.62508333332999999</v>
      </c>
      <c r="I270" s="764" t="str" cm="1">
        <f t="array" ref="I270">_xlfn.XLOOKUP(E270&amp;F270&amp;G270,'2.1 Electricidad'!$B$10:$B$138&amp;'2.1 Electricidad'!$C$10:$C$138&amp;'2.1 Electricidad'!$D$10:$D$138,'2.1 Electricidad'!$F$10:$F$138,"-")</f>
        <v>kgCO2e/kWh</v>
      </c>
      <c r="J270" s="764" t="str" cm="1">
        <f t="array" ref="J270">_xlfn.XLOOKUP(E270&amp;F270&amp;G270,'2.1 Electricidad'!$B$10:$B$138&amp;'2.1 Electricidad'!$C$10:$C$138&amp;'2.1 Electricidad'!$D$10:$D$138,'2.1 Electricidad'!$G$10:$G$138,"-")</f>
        <v>Energía Abierta (http://energiaabierta.cl/categorias-estadistica/sustentabilidad/)</v>
      </c>
      <c r="K270" s="764" t="s">
        <v>102</v>
      </c>
      <c r="L270" s="768" t="s">
        <v>102</v>
      </c>
    </row>
    <row r="271" spans="2:12" ht="43.2">
      <c r="B271" s="764" t="s">
        <v>198</v>
      </c>
      <c r="C271" s="764" t="s">
        <v>42</v>
      </c>
      <c r="D271" s="764" t="s">
        <v>198</v>
      </c>
      <c r="E271" s="764" t="s">
        <v>207</v>
      </c>
      <c r="F271" s="775">
        <v>2023</v>
      </c>
      <c r="G271" s="764" t="s">
        <v>200</v>
      </c>
      <c r="H271" s="765" cm="1">
        <f t="array" ref="H271">_xlfn.XLOOKUP(E271&amp;F271&amp;G271,'2.1 Electricidad'!$B$10:$B$138&amp;'2.1 Electricidad'!$C$10:$C$138&amp;'2.1 Electricidad'!$D$10:$D$138,'2.1 Electricidad'!$E$10:$E$138,"-")</f>
        <v>624.16666667000004</v>
      </c>
      <c r="I271" s="764" t="str" cm="1">
        <f t="array" ref="I271">_xlfn.XLOOKUP(E271&amp;F271&amp;G271,'2.1 Electricidad'!$B$10:$B$138&amp;'2.1 Electricidad'!$C$10:$C$138&amp;'2.1 Electricidad'!$D$10:$D$138,'2.1 Electricidad'!$F$10:$F$138,"-")</f>
        <v>kgCO2e/MWh</v>
      </c>
      <c r="J271" s="764" t="str" cm="1">
        <f t="array" ref="J271">_xlfn.XLOOKUP(E271&amp;F271&amp;G271,'2.1 Electricidad'!$B$10:$B$138&amp;'2.1 Electricidad'!$C$10:$C$138&amp;'2.1 Electricidad'!$D$10:$D$138,'2.1 Electricidad'!$G$10:$G$138,"-")</f>
        <v>Energía Abierta (http://energiaabierta.cl/categorias-estadistica/sustentabilidad/)</v>
      </c>
      <c r="K271" s="764" t="s">
        <v>102</v>
      </c>
      <c r="L271" s="768" t="s">
        <v>102</v>
      </c>
    </row>
    <row r="272" spans="2:12" ht="43.2">
      <c r="B272" s="764" t="s">
        <v>198</v>
      </c>
      <c r="C272" s="764" t="s">
        <v>42</v>
      </c>
      <c r="D272" s="764" t="s">
        <v>198</v>
      </c>
      <c r="E272" s="764" t="s">
        <v>207</v>
      </c>
      <c r="F272" s="775">
        <v>2023</v>
      </c>
      <c r="G272" s="764" t="s">
        <v>201</v>
      </c>
      <c r="H272" s="774" cm="1">
        <f t="array" ref="H272">_xlfn.XLOOKUP(E272&amp;F272&amp;G272,'2.1 Electricidad'!$B$10:$B$138&amp;'2.1 Electricidad'!$C$10:$C$138&amp;'2.1 Electricidad'!$D$10:$D$138,'2.1 Electricidad'!$E$10:$E$138,"-")</f>
        <v>624166.66667000006</v>
      </c>
      <c r="I272" s="764" t="str" cm="1">
        <f t="array" ref="I272">_xlfn.XLOOKUP(E272&amp;F272&amp;G272,'2.1 Electricidad'!$B$10:$B$138&amp;'2.1 Electricidad'!$C$10:$C$138&amp;'2.1 Electricidad'!$D$10:$D$138,'2.1 Electricidad'!$F$10:$F$138,"-")</f>
        <v>kgCO2e/GWh</v>
      </c>
      <c r="J272" s="764" t="str" cm="1">
        <f t="array" ref="J272">_xlfn.XLOOKUP(E272&amp;F272&amp;G272,'2.1 Electricidad'!$B$10:$B$138&amp;'2.1 Electricidad'!$C$10:$C$138&amp;'2.1 Electricidad'!$D$10:$D$138,'2.1 Electricidad'!$G$10:$G$138,"-")</f>
        <v>Energía Abierta (http://energiaabierta.cl/categorias-estadistica/sustentabilidad/)</v>
      </c>
      <c r="K272" s="764" t="s">
        <v>102</v>
      </c>
      <c r="L272" s="768" t="s">
        <v>102</v>
      </c>
    </row>
    <row r="273" spans="2:12" ht="43.2">
      <c r="B273" s="764" t="s">
        <v>198</v>
      </c>
      <c r="C273" s="764" t="s">
        <v>42</v>
      </c>
      <c r="D273" s="764" t="s">
        <v>198</v>
      </c>
      <c r="E273" s="764" t="s">
        <v>207</v>
      </c>
      <c r="F273" s="775">
        <v>2023</v>
      </c>
      <c r="G273" s="764" t="s">
        <v>202</v>
      </c>
      <c r="H273" s="765" cm="1">
        <f t="array" ref="H273">_xlfn.XLOOKUP(E273&amp;F273&amp;G273,'2.1 Electricidad'!$B$10:$B$138&amp;'2.1 Electricidad'!$C$10:$C$138&amp;'2.1 Electricidad'!$D$10:$D$138,'2.1 Electricidad'!$E$10:$E$138,"-")</f>
        <v>0.62416666667000009</v>
      </c>
      <c r="I273" s="764" t="str" cm="1">
        <f t="array" ref="I273">_xlfn.XLOOKUP(E273&amp;F273&amp;G273,'2.1 Electricidad'!$B$10:$B$138&amp;'2.1 Electricidad'!$C$10:$C$138&amp;'2.1 Electricidad'!$D$10:$D$138,'2.1 Electricidad'!$F$10:$F$138,"-")</f>
        <v>kgCO2e/kWh</v>
      </c>
      <c r="J273" s="764" t="str" cm="1">
        <f t="array" ref="J273">_xlfn.XLOOKUP(E273&amp;F273&amp;G273,'2.1 Electricidad'!$B$10:$B$138&amp;'2.1 Electricidad'!$C$10:$C$138&amp;'2.1 Electricidad'!$D$10:$D$138,'2.1 Electricidad'!$G$10:$G$138,"-")</f>
        <v>Energía Abierta (http://energiaabierta.cl/categorias-estadistica/sustentabilidad/)</v>
      </c>
      <c r="K273" s="764" t="s">
        <v>102</v>
      </c>
      <c r="L273" s="768" t="s">
        <v>102</v>
      </c>
    </row>
    <row r="274" spans="2:12" ht="43.2">
      <c r="B274" s="764" t="s">
        <v>198</v>
      </c>
      <c r="C274" s="764" t="s">
        <v>42</v>
      </c>
      <c r="D274" s="764" t="s">
        <v>198</v>
      </c>
      <c r="E274" s="764" t="s">
        <v>207</v>
      </c>
      <c r="F274" s="775">
        <v>2024</v>
      </c>
      <c r="G274" s="764" t="s">
        <v>200</v>
      </c>
      <c r="H274" s="765" t="str" cm="1">
        <f t="array" ref="H274">_xlfn.XLOOKUP(E274&amp;F274&amp;G274,'2.1 Electricidad'!$B$10:$B$138&amp;'2.1 Electricidad'!$C$10:$C$138&amp;'2.1 Electricidad'!$D$10:$D$138,'2.1 Electricidad'!$E$10:$E$138,"-")</f>
        <v>PENDIENTE</v>
      </c>
      <c r="I274" s="764" t="str" cm="1">
        <f t="array" ref="I274">_xlfn.XLOOKUP(E274&amp;F274&amp;G274,'2.1 Electricidad'!$B$10:$B$138&amp;'2.1 Electricidad'!$C$10:$C$138&amp;'2.1 Electricidad'!$D$10:$D$138,'2.1 Electricidad'!$F$10:$F$138,"-")</f>
        <v>kgCO2e/MWh</v>
      </c>
      <c r="J274" s="764" t="str" cm="1">
        <f t="array" ref="J274">_xlfn.XLOOKUP(E274&amp;F274&amp;G274,'2.1 Electricidad'!$B$10:$B$138&amp;'2.1 Electricidad'!$C$10:$C$138&amp;'2.1 Electricidad'!$D$10:$D$138,'2.1 Electricidad'!$G$10:$G$138,"-")</f>
        <v>Energía Abierta (http://energiaabierta.cl/categorias-estadistica/sustentabilidad/)</v>
      </c>
      <c r="K274" s="764" t="s">
        <v>102</v>
      </c>
      <c r="L274" s="768" t="s">
        <v>102</v>
      </c>
    </row>
    <row r="275" spans="2:12" ht="43.2">
      <c r="B275" s="764" t="s">
        <v>198</v>
      </c>
      <c r="C275" s="764" t="s">
        <v>42</v>
      </c>
      <c r="D275" s="764" t="s">
        <v>198</v>
      </c>
      <c r="E275" s="764" t="s">
        <v>207</v>
      </c>
      <c r="F275" s="775">
        <v>2024</v>
      </c>
      <c r="G275" s="764" t="s">
        <v>201</v>
      </c>
      <c r="H275" s="765" t="str" cm="1">
        <f t="array" ref="H275">_xlfn.XLOOKUP(E275&amp;F275&amp;G275,'2.1 Electricidad'!$B$10:$B$138&amp;'2.1 Electricidad'!$C$10:$C$138&amp;'2.1 Electricidad'!$D$10:$D$138,'2.1 Electricidad'!$E$10:$E$138,"-")</f>
        <v>PENDIENTE</v>
      </c>
      <c r="I275" s="764" t="str" cm="1">
        <f t="array" ref="I275">_xlfn.XLOOKUP(E275&amp;F275&amp;G275,'2.1 Electricidad'!$B$10:$B$138&amp;'2.1 Electricidad'!$C$10:$C$138&amp;'2.1 Electricidad'!$D$10:$D$138,'2.1 Electricidad'!$F$10:$F$138,"-")</f>
        <v>kgCO2e/GWh</v>
      </c>
      <c r="J275" s="764" t="str" cm="1">
        <f t="array" ref="J275">_xlfn.XLOOKUP(E275&amp;F275&amp;G275,'2.1 Electricidad'!$B$10:$B$138&amp;'2.1 Electricidad'!$C$10:$C$138&amp;'2.1 Electricidad'!$D$10:$D$138,'2.1 Electricidad'!$G$10:$G$138,"-")</f>
        <v>Energía Abierta (http://energiaabierta.cl/categorias-estadistica/sustentabilidad/)</v>
      </c>
      <c r="K275" s="764" t="s">
        <v>102</v>
      </c>
      <c r="L275" s="768" t="s">
        <v>102</v>
      </c>
    </row>
    <row r="276" spans="2:12" ht="43.2">
      <c r="B276" s="764" t="s">
        <v>198</v>
      </c>
      <c r="C276" s="764" t="s">
        <v>42</v>
      </c>
      <c r="D276" s="764" t="s">
        <v>198</v>
      </c>
      <c r="E276" s="764" t="s">
        <v>207</v>
      </c>
      <c r="F276" s="775">
        <v>2024</v>
      </c>
      <c r="G276" s="764" t="s">
        <v>202</v>
      </c>
      <c r="H276" s="765" t="str" cm="1">
        <f t="array" ref="H276">_xlfn.XLOOKUP(E276&amp;F276&amp;G276,'2.1 Electricidad'!$B$10:$B$138&amp;'2.1 Electricidad'!$C$10:$C$138&amp;'2.1 Electricidad'!$D$10:$D$138,'2.1 Electricidad'!$E$10:$E$138,"-")</f>
        <v>PENDIENTE</v>
      </c>
      <c r="I276" s="764" t="str" cm="1">
        <f t="array" ref="I276">_xlfn.XLOOKUP(E276&amp;F276&amp;G276,'2.1 Electricidad'!$B$10:$B$138&amp;'2.1 Electricidad'!$C$10:$C$138&amp;'2.1 Electricidad'!$D$10:$D$138,'2.1 Electricidad'!$F$10:$F$138,"-")</f>
        <v>kgCO2e/kWh</v>
      </c>
      <c r="J276" s="764" t="str" cm="1">
        <f t="array" ref="J276">_xlfn.XLOOKUP(E276&amp;F276&amp;G276,'2.1 Electricidad'!$B$10:$B$138&amp;'2.1 Electricidad'!$C$10:$C$138&amp;'2.1 Electricidad'!$D$10:$D$138,'2.1 Electricidad'!$G$10:$G$138,"-")</f>
        <v>Energía Abierta (http://energiaabierta.cl/categorias-estadistica/sustentabilidad/)</v>
      </c>
      <c r="K276" s="764" t="s">
        <v>102</v>
      </c>
      <c r="L276" s="768" t="s">
        <v>102</v>
      </c>
    </row>
    <row r="277" spans="2:12" ht="72">
      <c r="B277" s="764" t="s">
        <v>198</v>
      </c>
      <c r="C277" s="764" t="s">
        <v>44</v>
      </c>
      <c r="D277" s="764" t="s">
        <v>208</v>
      </c>
      <c r="E277" s="764" t="s">
        <v>199</v>
      </c>
      <c r="F277" s="775">
        <v>2015</v>
      </c>
      <c r="G277" s="764" t="s">
        <v>200</v>
      </c>
      <c r="H277" s="765" cm="1">
        <f t="array" ref="H277">_xlfn.XLOOKUP(E277&amp;F277&amp;G277,'2.2 Perdidas por T&amp;D'!$B$12:$B$140&amp;'2.2 Perdidas por T&amp;D'!$C$12:$C$140&amp;'2.2 Perdidas por T&amp;D'!$D$12:$D$140,'2.2 Perdidas por T&amp;D'!$E$12:$E$140,"-")</f>
        <v>43.570799999999998</v>
      </c>
      <c r="I277" s="764" t="str" cm="1">
        <f t="array" ref="I277">_xlfn.XLOOKUP(E277&amp;F277&amp;G277,'2.2 Perdidas por T&amp;D'!$B$12:$B$140&amp;'2.2 Perdidas por T&amp;D'!$C$12:$C$140&amp;'2.2 Perdidas por T&amp;D'!$D$12:$D$140,'2.2 Perdidas por T&amp;D'!$F$12:$F$140,"-")</f>
        <v>kgCO2e/MWh</v>
      </c>
      <c r="J277" s="764" t="str" cm="1">
        <f t="array" ref="J277">_xlfn.XLOOKUP(E277&amp;F277&amp;G277,'2.2 Perdidas por T&amp;D'!$B$12:$B$140&amp;'2.2 Perdidas por T&amp;D'!$C$12:$C$140&amp;'2.2 Perdidas por T&amp;D'!$D$12:$D$140,'2.2 Perdidas por T&amp;D'!$G$12:$G$140,"-")</f>
        <v>Base de Información de Eficiencia Energética - CEPAL- Enerdata, 2018 (https://biee-cepal.enerdata.net/es/datamapper/rate-of-electricity-t&amp;d-losses.html)</v>
      </c>
      <c r="K277" s="764" t="s">
        <v>102</v>
      </c>
      <c r="L277" s="768" t="s">
        <v>102</v>
      </c>
    </row>
    <row r="278" spans="2:12" ht="72">
      <c r="B278" s="764" t="s">
        <v>198</v>
      </c>
      <c r="C278" s="764" t="s">
        <v>44</v>
      </c>
      <c r="D278" s="764" t="s">
        <v>208</v>
      </c>
      <c r="E278" s="764" t="s">
        <v>199</v>
      </c>
      <c r="F278" s="775">
        <v>2015</v>
      </c>
      <c r="G278" s="764" t="s">
        <v>201</v>
      </c>
      <c r="H278" s="765" cm="1">
        <f t="array" ref="H278">_xlfn.XLOOKUP(E278&amp;F278&amp;G278,'2.2 Perdidas por T&amp;D'!$B$12:$B$140&amp;'2.2 Perdidas por T&amp;D'!$C$12:$C$140&amp;'2.2 Perdidas por T&amp;D'!$D$12:$D$140,'2.2 Perdidas por T&amp;D'!$E$12:$E$140,"-")</f>
        <v>43570.8</v>
      </c>
      <c r="I278" s="764" t="str" cm="1">
        <f t="array" ref="I278">_xlfn.XLOOKUP(E278&amp;F278&amp;G278,'2.2 Perdidas por T&amp;D'!$B$12:$B$140&amp;'2.2 Perdidas por T&amp;D'!$C$12:$C$140&amp;'2.2 Perdidas por T&amp;D'!$D$12:$D$140,'2.2 Perdidas por T&amp;D'!$F$12:$F$140,"-")</f>
        <v>kgCO2e/GWh</v>
      </c>
      <c r="J278" s="764" t="str" cm="1">
        <f t="array" ref="J278">_xlfn.XLOOKUP(E278&amp;F278&amp;G278,'2.2 Perdidas por T&amp;D'!$B$12:$B$140&amp;'2.2 Perdidas por T&amp;D'!$C$12:$C$140&amp;'2.2 Perdidas por T&amp;D'!$D$12:$D$140,'2.2 Perdidas por T&amp;D'!$G$12:$G$140,"-")</f>
        <v>Base de Información de Eficiencia Energética - CEPAL- Enerdata, 2018 (https://biee-cepal.enerdata.net/es/datamapper/rate-of-electricity-t&amp;d-losses.html)</v>
      </c>
      <c r="K278" s="764" t="s">
        <v>102</v>
      </c>
      <c r="L278" s="768" t="s">
        <v>102</v>
      </c>
    </row>
    <row r="279" spans="2:12" ht="72">
      <c r="B279" s="764" t="s">
        <v>198</v>
      </c>
      <c r="C279" s="764" t="s">
        <v>44</v>
      </c>
      <c r="D279" s="764" t="s">
        <v>208</v>
      </c>
      <c r="E279" s="764" t="s">
        <v>199</v>
      </c>
      <c r="F279" s="775">
        <v>2015</v>
      </c>
      <c r="G279" s="764" t="s">
        <v>202</v>
      </c>
      <c r="H279" s="765" cm="1">
        <f t="array" ref="H279">_xlfn.XLOOKUP(E279&amp;F279&amp;G279,'2.2 Perdidas por T&amp;D'!$B$12:$B$140&amp;'2.2 Perdidas por T&amp;D'!$C$12:$C$140&amp;'2.2 Perdidas por T&amp;D'!$D$12:$D$140,'2.2 Perdidas por T&amp;D'!$E$12:$E$140,"-")</f>
        <v>4.35708E-2</v>
      </c>
      <c r="I279" s="764" t="str" cm="1">
        <f t="array" ref="I279">_xlfn.XLOOKUP(E279&amp;F279&amp;G279,'2.2 Perdidas por T&amp;D'!$B$12:$B$140&amp;'2.2 Perdidas por T&amp;D'!$C$12:$C$140&amp;'2.2 Perdidas por T&amp;D'!$D$12:$D$140,'2.2 Perdidas por T&amp;D'!$F$12:$F$140,"-")</f>
        <v>kgCO2e/kWh</v>
      </c>
      <c r="J279" s="764" t="str" cm="1">
        <f t="array" ref="J279">_xlfn.XLOOKUP(E279&amp;F279&amp;G279,'2.2 Perdidas por T&amp;D'!$B$12:$B$140&amp;'2.2 Perdidas por T&amp;D'!$C$12:$C$140&amp;'2.2 Perdidas por T&amp;D'!$D$12:$D$140,'2.2 Perdidas por T&amp;D'!$G$12:$G$140,"-")</f>
        <v>Base de Información de Eficiencia Energética - CEPAL- Enerdata, 2018 (https://biee-cepal.enerdata.net/es/datamapper/rate-of-electricity-t&amp;d-losses.html)</v>
      </c>
      <c r="K279" s="764" t="s">
        <v>102</v>
      </c>
      <c r="L279" s="768" t="s">
        <v>102</v>
      </c>
    </row>
    <row r="280" spans="2:12" ht="72">
      <c r="B280" s="764" t="s">
        <v>198</v>
      </c>
      <c r="C280" s="764" t="s">
        <v>44</v>
      </c>
      <c r="D280" s="764" t="s">
        <v>208</v>
      </c>
      <c r="E280" s="764" t="s">
        <v>199</v>
      </c>
      <c r="F280" s="775">
        <v>2016</v>
      </c>
      <c r="G280" s="764" t="s">
        <v>200</v>
      </c>
      <c r="H280" s="765" cm="1">
        <f t="array" ref="H280">_xlfn.XLOOKUP(E280&amp;F280&amp;G280,'2.2 Perdidas por T&amp;D'!$B$12:$B$140&amp;'2.2 Perdidas por T&amp;D'!$C$12:$C$140&amp;'2.2 Perdidas por T&amp;D'!$D$12:$D$140,'2.2 Perdidas por T&amp;D'!$E$12:$E$140,"-")</f>
        <v>43.701900000000002</v>
      </c>
      <c r="I280" s="764" t="str" cm="1">
        <f t="array" ref="I280">_xlfn.XLOOKUP(E280&amp;F280&amp;G280,'2.2 Perdidas por T&amp;D'!$B$12:$B$140&amp;'2.2 Perdidas por T&amp;D'!$C$12:$C$140&amp;'2.2 Perdidas por T&amp;D'!$D$12:$D$140,'2.2 Perdidas por T&amp;D'!$F$12:$F$140,"-")</f>
        <v>kgCO2e/MWh</v>
      </c>
      <c r="J280" s="764" t="str" cm="1">
        <f t="array" ref="J280">_xlfn.XLOOKUP(E280&amp;F280&amp;G280,'2.2 Perdidas por T&amp;D'!$B$12:$B$140&amp;'2.2 Perdidas por T&amp;D'!$C$12:$C$140&amp;'2.2 Perdidas por T&amp;D'!$D$12:$D$140,'2.2 Perdidas por T&amp;D'!$G$12:$G$140,"-")</f>
        <v>Base de Información de Eficiencia Energética - CEPAL- Enerdata, 2018 (https://biee-cepal.enerdata.net/es/datamapper/rate-of-electricity-t&amp;d-losses.html)</v>
      </c>
      <c r="K280" s="764" t="s">
        <v>102</v>
      </c>
      <c r="L280" s="768" t="s">
        <v>102</v>
      </c>
    </row>
    <row r="281" spans="2:12" ht="72">
      <c r="B281" s="764" t="s">
        <v>198</v>
      </c>
      <c r="C281" s="764" t="s">
        <v>44</v>
      </c>
      <c r="D281" s="764" t="s">
        <v>208</v>
      </c>
      <c r="E281" s="764" t="s">
        <v>199</v>
      </c>
      <c r="F281" s="775">
        <v>2016</v>
      </c>
      <c r="G281" s="764" t="s">
        <v>201</v>
      </c>
      <c r="H281" s="765" cm="1">
        <f t="array" ref="H281">_xlfn.XLOOKUP(E281&amp;F281&amp;G281,'2.2 Perdidas por T&amp;D'!$B$12:$B$140&amp;'2.2 Perdidas por T&amp;D'!$C$12:$C$140&amp;'2.2 Perdidas por T&amp;D'!$D$12:$D$140,'2.2 Perdidas por T&amp;D'!$E$12:$E$140,"-")</f>
        <v>43701.9</v>
      </c>
      <c r="I281" s="764" t="str" cm="1">
        <f t="array" ref="I281">_xlfn.XLOOKUP(E281&amp;F281&amp;G281,'2.2 Perdidas por T&amp;D'!$B$12:$B$140&amp;'2.2 Perdidas por T&amp;D'!$C$12:$C$140&amp;'2.2 Perdidas por T&amp;D'!$D$12:$D$140,'2.2 Perdidas por T&amp;D'!$F$12:$F$140,"-")</f>
        <v>kgCO2e/GWh</v>
      </c>
      <c r="J281" s="764" t="str" cm="1">
        <f t="array" ref="J281">_xlfn.XLOOKUP(E281&amp;F281&amp;G281,'2.2 Perdidas por T&amp;D'!$B$12:$B$140&amp;'2.2 Perdidas por T&amp;D'!$C$12:$C$140&amp;'2.2 Perdidas por T&amp;D'!$D$12:$D$140,'2.2 Perdidas por T&amp;D'!$G$12:$G$140,"-")</f>
        <v>Base de Información de Eficiencia Energética - CEPAL- Enerdata, 2018 (https://biee-cepal.enerdata.net/es/datamapper/rate-of-electricity-t&amp;d-losses.html)</v>
      </c>
      <c r="K281" s="764" t="s">
        <v>102</v>
      </c>
      <c r="L281" s="768" t="s">
        <v>102</v>
      </c>
    </row>
    <row r="282" spans="2:12" ht="72">
      <c r="B282" s="764" t="s">
        <v>198</v>
      </c>
      <c r="C282" s="764" t="s">
        <v>44</v>
      </c>
      <c r="D282" s="764" t="s">
        <v>208</v>
      </c>
      <c r="E282" s="764" t="s">
        <v>199</v>
      </c>
      <c r="F282" s="775">
        <v>2016</v>
      </c>
      <c r="G282" s="764" t="s">
        <v>202</v>
      </c>
      <c r="H282" s="765" cm="1">
        <f t="array" ref="H282">_xlfn.XLOOKUP(E282&amp;F282&amp;G282,'2.2 Perdidas por T&amp;D'!$B$12:$B$140&amp;'2.2 Perdidas por T&amp;D'!$C$12:$C$140&amp;'2.2 Perdidas por T&amp;D'!$D$12:$D$140,'2.2 Perdidas por T&amp;D'!$E$12:$E$140,"-")</f>
        <v>4.3701900000000002E-2</v>
      </c>
      <c r="I282" s="764" t="str" cm="1">
        <f t="array" ref="I282">_xlfn.XLOOKUP(E282&amp;F282&amp;G282,'2.2 Perdidas por T&amp;D'!$B$12:$B$140&amp;'2.2 Perdidas por T&amp;D'!$C$12:$C$140&amp;'2.2 Perdidas por T&amp;D'!$D$12:$D$140,'2.2 Perdidas por T&amp;D'!$F$12:$F$140,"-")</f>
        <v>kgCO2e/kWh</v>
      </c>
      <c r="J282" s="764" t="str" cm="1">
        <f t="array" ref="J282">_xlfn.XLOOKUP(E282&amp;F282&amp;G282,'2.2 Perdidas por T&amp;D'!$B$12:$B$140&amp;'2.2 Perdidas por T&amp;D'!$C$12:$C$140&amp;'2.2 Perdidas por T&amp;D'!$D$12:$D$140,'2.2 Perdidas por T&amp;D'!$G$12:$G$140,"-")</f>
        <v>Base de Información de Eficiencia Energética - CEPAL- Enerdata, 2018 (https://biee-cepal.enerdata.net/es/datamapper/rate-of-electricity-t&amp;d-losses.html)</v>
      </c>
      <c r="K282" s="764" t="s">
        <v>102</v>
      </c>
      <c r="L282" s="768" t="s">
        <v>102</v>
      </c>
    </row>
    <row r="283" spans="2:12" ht="72">
      <c r="B283" s="764" t="s">
        <v>198</v>
      </c>
      <c r="C283" s="764" t="s">
        <v>44</v>
      </c>
      <c r="D283" s="764" t="s">
        <v>208</v>
      </c>
      <c r="E283" s="764" t="s">
        <v>199</v>
      </c>
      <c r="F283" s="775">
        <v>2017</v>
      </c>
      <c r="G283" s="764" t="s">
        <v>200</v>
      </c>
      <c r="H283" s="765" cm="1">
        <f t="array" ref="H283">_xlfn.XLOOKUP(E283&amp;F283&amp;G283,'2.2 Perdidas por T&amp;D'!$B$12:$B$140&amp;'2.2 Perdidas por T&amp;D'!$C$12:$C$140&amp;'2.2 Perdidas por T&amp;D'!$D$12:$D$140,'2.2 Perdidas por T&amp;D'!$E$12:$E$140,"-")</f>
        <v>44.061</v>
      </c>
      <c r="I283" s="764" t="str" cm="1">
        <f t="array" ref="I283">_xlfn.XLOOKUP(E283&amp;F283&amp;G283,'2.2 Perdidas por T&amp;D'!$B$12:$B$140&amp;'2.2 Perdidas por T&amp;D'!$C$12:$C$140&amp;'2.2 Perdidas por T&amp;D'!$D$12:$D$140,'2.2 Perdidas por T&amp;D'!$F$12:$F$140,"-")</f>
        <v>kgCO2e/MWh</v>
      </c>
      <c r="J283" s="764" t="str" cm="1">
        <f t="array" ref="J283">_xlfn.XLOOKUP(E283&amp;F283&amp;G283,'2.2 Perdidas por T&amp;D'!$B$12:$B$140&amp;'2.2 Perdidas por T&amp;D'!$C$12:$C$140&amp;'2.2 Perdidas por T&amp;D'!$D$12:$D$140,'2.2 Perdidas por T&amp;D'!$G$12:$G$140,"-")</f>
        <v>Base de Información de Eficiencia Energética - CEPAL- Enerdata, 2018 (https://biee-cepal.enerdata.net/es/datamapper/rate-of-electricity-t&amp;d-losses.html)</v>
      </c>
      <c r="K283" s="764" t="s">
        <v>102</v>
      </c>
      <c r="L283" s="768" t="s">
        <v>102</v>
      </c>
    </row>
    <row r="284" spans="2:12" ht="72">
      <c r="B284" s="764" t="s">
        <v>198</v>
      </c>
      <c r="C284" s="764" t="s">
        <v>44</v>
      </c>
      <c r="D284" s="764" t="s">
        <v>208</v>
      </c>
      <c r="E284" s="764" t="s">
        <v>199</v>
      </c>
      <c r="F284" s="775">
        <v>2017</v>
      </c>
      <c r="G284" s="764" t="s">
        <v>201</v>
      </c>
      <c r="H284" s="765" cm="1">
        <f t="array" ref="H284">_xlfn.XLOOKUP(E284&amp;F284&amp;G284,'2.2 Perdidas por T&amp;D'!$B$12:$B$140&amp;'2.2 Perdidas por T&amp;D'!$C$12:$C$140&amp;'2.2 Perdidas por T&amp;D'!$D$12:$D$140,'2.2 Perdidas por T&amp;D'!$E$12:$E$140,"-")</f>
        <v>44061</v>
      </c>
      <c r="I284" s="764" t="str" cm="1">
        <f t="array" ref="I284">_xlfn.XLOOKUP(E284&amp;F284&amp;G284,'2.2 Perdidas por T&amp;D'!$B$12:$B$140&amp;'2.2 Perdidas por T&amp;D'!$C$12:$C$140&amp;'2.2 Perdidas por T&amp;D'!$D$12:$D$140,'2.2 Perdidas por T&amp;D'!$F$12:$F$140,"-")</f>
        <v>kgCO2e/GWh</v>
      </c>
      <c r="J284" s="764" t="str" cm="1">
        <f t="array" ref="J284">_xlfn.XLOOKUP(E284&amp;F284&amp;G284,'2.2 Perdidas por T&amp;D'!$B$12:$B$140&amp;'2.2 Perdidas por T&amp;D'!$C$12:$C$140&amp;'2.2 Perdidas por T&amp;D'!$D$12:$D$140,'2.2 Perdidas por T&amp;D'!$G$12:$G$140,"-")</f>
        <v>Base de Información de Eficiencia Energética - CEPAL- Enerdata, 2018 (https://biee-cepal.enerdata.net/es/datamapper/rate-of-electricity-t&amp;d-losses.html)</v>
      </c>
      <c r="K284" s="764" t="s">
        <v>102</v>
      </c>
      <c r="L284" s="768" t="s">
        <v>102</v>
      </c>
    </row>
    <row r="285" spans="2:12" ht="72">
      <c r="B285" s="764" t="s">
        <v>198</v>
      </c>
      <c r="C285" s="764" t="s">
        <v>44</v>
      </c>
      <c r="D285" s="764" t="s">
        <v>208</v>
      </c>
      <c r="E285" s="764" t="s">
        <v>199</v>
      </c>
      <c r="F285" s="775">
        <v>2017</v>
      </c>
      <c r="G285" s="764" t="s">
        <v>202</v>
      </c>
      <c r="H285" s="765" cm="1">
        <f t="array" ref="H285">_xlfn.XLOOKUP(E285&amp;F285&amp;G285,'2.2 Perdidas por T&amp;D'!$B$12:$B$140&amp;'2.2 Perdidas por T&amp;D'!$C$12:$C$140&amp;'2.2 Perdidas por T&amp;D'!$D$12:$D$140,'2.2 Perdidas por T&amp;D'!$E$12:$E$140,"-")</f>
        <v>4.4061000000000003E-2</v>
      </c>
      <c r="I285" s="764" t="str" cm="1">
        <f t="array" ref="I285">_xlfn.XLOOKUP(E285&amp;F285&amp;G285,'2.2 Perdidas por T&amp;D'!$B$12:$B$140&amp;'2.2 Perdidas por T&amp;D'!$C$12:$C$140&amp;'2.2 Perdidas por T&amp;D'!$D$12:$D$140,'2.2 Perdidas por T&amp;D'!$F$12:$F$140,"-")</f>
        <v>kgCO2e/kWh</v>
      </c>
      <c r="J285" s="764" t="str" cm="1">
        <f t="array" ref="J285">_xlfn.XLOOKUP(E285&amp;F285&amp;G285,'2.2 Perdidas por T&amp;D'!$B$12:$B$140&amp;'2.2 Perdidas por T&amp;D'!$C$12:$C$140&amp;'2.2 Perdidas por T&amp;D'!$D$12:$D$140,'2.2 Perdidas por T&amp;D'!$G$12:$G$140,"-")</f>
        <v>Base de Información de Eficiencia Energética - CEPAL- Enerdata, 2018 (https://biee-cepal.enerdata.net/es/datamapper/rate-of-electricity-t&amp;d-losses.html)</v>
      </c>
      <c r="K285" s="764" t="s">
        <v>102</v>
      </c>
      <c r="L285" s="768" t="s">
        <v>102</v>
      </c>
    </row>
    <row r="286" spans="2:12" ht="72">
      <c r="B286" s="764" t="s">
        <v>198</v>
      </c>
      <c r="C286" s="764" t="s">
        <v>44</v>
      </c>
      <c r="D286" s="764" t="s">
        <v>208</v>
      </c>
      <c r="E286" s="764" t="s">
        <v>203</v>
      </c>
      <c r="F286" s="775">
        <v>2015</v>
      </c>
      <c r="G286" s="764" t="s">
        <v>200</v>
      </c>
      <c r="H286" s="765" cm="1">
        <f t="array" ref="H286">_xlfn.XLOOKUP(E286&amp;F286&amp;G286,'2.2 Perdidas por T&amp;D'!$B$12:$B$140&amp;'2.2 Perdidas por T&amp;D'!$C$12:$C$140&amp;'2.2 Perdidas por T&amp;D'!$D$12:$D$140,'2.2 Perdidas por T&amp;D'!$E$12:$E$140,"-")</f>
        <v>19.7163</v>
      </c>
      <c r="I286" s="764" t="str" cm="1">
        <f t="array" ref="I286">_xlfn.XLOOKUP(E286&amp;F286&amp;G286,'2.2 Perdidas por T&amp;D'!$B$12:$B$140&amp;'2.2 Perdidas por T&amp;D'!$C$12:$C$140&amp;'2.2 Perdidas por T&amp;D'!$D$12:$D$140,'2.2 Perdidas por T&amp;D'!$F$12:$F$140,"-")</f>
        <v>kgCO2e/MWh</v>
      </c>
      <c r="J286" s="764" t="str" cm="1">
        <f t="array" ref="J286">_xlfn.XLOOKUP(E286&amp;F286&amp;G286,'2.2 Perdidas por T&amp;D'!$B$12:$B$140&amp;'2.2 Perdidas por T&amp;D'!$C$12:$C$140&amp;'2.2 Perdidas por T&amp;D'!$D$12:$D$140,'2.2 Perdidas por T&amp;D'!$G$12:$G$140,"-")</f>
        <v>Base de Información de Eficiencia Energética - CEPAL- Enerdata, 2018 (https://biee-cepal.enerdata.net/es/datamapper/rate-of-electricity-t&amp;d-losses.html)</v>
      </c>
      <c r="K286" s="764" t="s">
        <v>102</v>
      </c>
      <c r="L286" s="768" t="s">
        <v>102</v>
      </c>
    </row>
    <row r="287" spans="2:12" ht="72">
      <c r="B287" s="764" t="s">
        <v>198</v>
      </c>
      <c r="C287" s="764" t="s">
        <v>44</v>
      </c>
      <c r="D287" s="764" t="s">
        <v>208</v>
      </c>
      <c r="E287" s="764" t="s">
        <v>203</v>
      </c>
      <c r="F287" s="775">
        <v>2015</v>
      </c>
      <c r="G287" s="764" t="s">
        <v>201</v>
      </c>
      <c r="H287" s="765" cm="1">
        <f t="array" ref="H287">_xlfn.XLOOKUP(E287&amp;F287&amp;G287,'2.2 Perdidas por T&amp;D'!$B$12:$B$140&amp;'2.2 Perdidas por T&amp;D'!$C$12:$C$140&amp;'2.2 Perdidas por T&amp;D'!$D$12:$D$140,'2.2 Perdidas por T&amp;D'!$E$12:$E$140,"-")</f>
        <v>19716.3</v>
      </c>
      <c r="I287" s="764" t="str" cm="1">
        <f t="array" ref="I287">_xlfn.XLOOKUP(E287&amp;F287&amp;G287,'2.2 Perdidas por T&amp;D'!$B$12:$B$140&amp;'2.2 Perdidas por T&amp;D'!$C$12:$C$140&amp;'2.2 Perdidas por T&amp;D'!$D$12:$D$140,'2.2 Perdidas por T&amp;D'!$F$12:$F$140,"-")</f>
        <v>kgCO2e/GWh</v>
      </c>
      <c r="J287" s="764" t="str" cm="1">
        <f t="array" ref="J287">_xlfn.XLOOKUP(E287&amp;F287&amp;G287,'2.2 Perdidas por T&amp;D'!$B$12:$B$140&amp;'2.2 Perdidas por T&amp;D'!$C$12:$C$140&amp;'2.2 Perdidas por T&amp;D'!$D$12:$D$140,'2.2 Perdidas por T&amp;D'!$G$12:$G$140,"-")</f>
        <v>Base de Información de Eficiencia Energética - CEPAL- Enerdata, 2018 (https://biee-cepal.enerdata.net/es/datamapper/rate-of-electricity-t&amp;d-losses.html)</v>
      </c>
      <c r="K287" s="764" t="s">
        <v>102</v>
      </c>
      <c r="L287" s="768" t="s">
        <v>102</v>
      </c>
    </row>
    <row r="288" spans="2:12" ht="72">
      <c r="B288" s="764" t="s">
        <v>198</v>
      </c>
      <c r="C288" s="764" t="s">
        <v>44</v>
      </c>
      <c r="D288" s="764" t="s">
        <v>208</v>
      </c>
      <c r="E288" s="764" t="s">
        <v>203</v>
      </c>
      <c r="F288" s="775">
        <v>2015</v>
      </c>
      <c r="G288" s="764" t="s">
        <v>202</v>
      </c>
      <c r="H288" s="765" cm="1">
        <f t="array" ref="H288">_xlfn.XLOOKUP(E288&amp;F288&amp;G288,'2.2 Perdidas por T&amp;D'!$B$12:$B$140&amp;'2.2 Perdidas por T&amp;D'!$C$12:$C$140&amp;'2.2 Perdidas por T&amp;D'!$D$12:$D$140,'2.2 Perdidas por T&amp;D'!$E$12:$E$140,"-")</f>
        <v>1.9716299999999999E-2</v>
      </c>
      <c r="I288" s="764" t="str" cm="1">
        <f t="array" ref="I288">_xlfn.XLOOKUP(E288&amp;F288&amp;G288,'2.2 Perdidas por T&amp;D'!$B$12:$B$140&amp;'2.2 Perdidas por T&amp;D'!$C$12:$C$140&amp;'2.2 Perdidas por T&amp;D'!$D$12:$D$140,'2.2 Perdidas por T&amp;D'!$F$12:$F$140,"-")</f>
        <v>kgCO2e/kWh</v>
      </c>
      <c r="J288" s="764" t="str" cm="1">
        <f t="array" ref="J288">_xlfn.XLOOKUP(E288&amp;F288&amp;G288,'2.2 Perdidas por T&amp;D'!$B$12:$B$140&amp;'2.2 Perdidas por T&amp;D'!$C$12:$C$140&amp;'2.2 Perdidas por T&amp;D'!$D$12:$D$140,'2.2 Perdidas por T&amp;D'!$G$12:$G$140,"-")</f>
        <v>Base de Información de Eficiencia Energética - CEPAL- Enerdata, 2018 (https://biee-cepal.enerdata.net/es/datamapper/rate-of-electricity-t&amp;d-losses.html)</v>
      </c>
      <c r="K288" s="764" t="s">
        <v>102</v>
      </c>
      <c r="L288" s="768" t="s">
        <v>102</v>
      </c>
    </row>
    <row r="289" spans="2:12" ht="72">
      <c r="B289" s="764" t="s">
        <v>198</v>
      </c>
      <c r="C289" s="764" t="s">
        <v>44</v>
      </c>
      <c r="D289" s="764" t="s">
        <v>208</v>
      </c>
      <c r="E289" s="764" t="s">
        <v>203</v>
      </c>
      <c r="F289" s="775">
        <v>2016</v>
      </c>
      <c r="G289" s="764" t="s">
        <v>200</v>
      </c>
      <c r="H289" s="765" cm="1">
        <f t="array" ref="H289">_xlfn.XLOOKUP(E289&amp;F289&amp;G289,'2.2 Perdidas por T&amp;D'!$B$12:$B$140&amp;'2.2 Perdidas por T&amp;D'!$C$12:$C$140&amp;'2.2 Perdidas por T&amp;D'!$D$12:$D$140,'2.2 Perdidas por T&amp;D'!$E$12:$E$140,"-")</f>
        <v>22.629000000000001</v>
      </c>
      <c r="I289" s="764" t="str" cm="1">
        <f t="array" ref="I289">_xlfn.XLOOKUP(E289&amp;F289&amp;G289,'2.2 Perdidas por T&amp;D'!$B$12:$B$140&amp;'2.2 Perdidas por T&amp;D'!$C$12:$C$140&amp;'2.2 Perdidas por T&amp;D'!$D$12:$D$140,'2.2 Perdidas por T&amp;D'!$F$12:$F$140,"-")</f>
        <v>kgCO2e/MWh</v>
      </c>
      <c r="J289" s="764" t="str" cm="1">
        <f t="array" ref="J289">_xlfn.XLOOKUP(E289&amp;F289&amp;G289,'2.2 Perdidas por T&amp;D'!$B$12:$B$140&amp;'2.2 Perdidas por T&amp;D'!$C$12:$C$140&amp;'2.2 Perdidas por T&amp;D'!$D$12:$D$140,'2.2 Perdidas por T&amp;D'!$G$12:$G$140,"-")</f>
        <v>Base de Información de Eficiencia Energética - CEPAL- Enerdata, 2018 (https://biee-cepal.enerdata.net/es/datamapper/rate-of-electricity-t&amp;d-losses.html)</v>
      </c>
      <c r="K289" s="764" t="s">
        <v>102</v>
      </c>
      <c r="L289" s="768" t="s">
        <v>102</v>
      </c>
    </row>
    <row r="290" spans="2:12" ht="72">
      <c r="B290" s="764" t="s">
        <v>198</v>
      </c>
      <c r="C290" s="764" t="s">
        <v>44</v>
      </c>
      <c r="D290" s="764" t="s">
        <v>208</v>
      </c>
      <c r="E290" s="764" t="s">
        <v>203</v>
      </c>
      <c r="F290" s="775">
        <v>2016</v>
      </c>
      <c r="G290" s="764" t="s">
        <v>201</v>
      </c>
      <c r="H290" s="765" cm="1">
        <f t="array" ref="H290">_xlfn.XLOOKUP(E290&amp;F290&amp;G290,'2.2 Perdidas por T&amp;D'!$B$12:$B$140&amp;'2.2 Perdidas por T&amp;D'!$C$12:$C$140&amp;'2.2 Perdidas por T&amp;D'!$D$12:$D$140,'2.2 Perdidas por T&amp;D'!$E$12:$E$140,"-")</f>
        <v>22629</v>
      </c>
      <c r="I290" s="764" t="str" cm="1">
        <f t="array" ref="I290">_xlfn.XLOOKUP(E290&amp;F290&amp;G290,'2.2 Perdidas por T&amp;D'!$B$12:$B$140&amp;'2.2 Perdidas por T&amp;D'!$C$12:$C$140&amp;'2.2 Perdidas por T&amp;D'!$D$12:$D$140,'2.2 Perdidas por T&amp;D'!$F$12:$F$140,"-")</f>
        <v>kgCO2e/GWh</v>
      </c>
      <c r="J290" s="764" t="str" cm="1">
        <f t="array" ref="J290">_xlfn.XLOOKUP(E290&amp;F290&amp;G290,'2.2 Perdidas por T&amp;D'!$B$12:$B$140&amp;'2.2 Perdidas por T&amp;D'!$C$12:$C$140&amp;'2.2 Perdidas por T&amp;D'!$D$12:$D$140,'2.2 Perdidas por T&amp;D'!$G$12:$G$140,"-")</f>
        <v>Base de Información de Eficiencia Energética - CEPAL- Enerdata, 2018 (https://biee-cepal.enerdata.net/es/datamapper/rate-of-electricity-t&amp;d-losses.html)</v>
      </c>
      <c r="K290" s="764" t="s">
        <v>102</v>
      </c>
      <c r="L290" s="768" t="s">
        <v>102</v>
      </c>
    </row>
    <row r="291" spans="2:12" ht="72">
      <c r="B291" s="764" t="s">
        <v>198</v>
      </c>
      <c r="C291" s="764" t="s">
        <v>44</v>
      </c>
      <c r="D291" s="764" t="s">
        <v>208</v>
      </c>
      <c r="E291" s="764" t="s">
        <v>203</v>
      </c>
      <c r="F291" s="775">
        <v>2016</v>
      </c>
      <c r="G291" s="764" t="s">
        <v>202</v>
      </c>
      <c r="H291" s="765" cm="1">
        <f t="array" ref="H291">_xlfn.XLOOKUP(E291&amp;F291&amp;G291,'2.2 Perdidas por T&amp;D'!$B$12:$B$140&amp;'2.2 Perdidas por T&amp;D'!$C$12:$C$140&amp;'2.2 Perdidas por T&amp;D'!$D$12:$D$140,'2.2 Perdidas por T&amp;D'!$E$12:$E$140,"-")</f>
        <v>2.2629000000000003E-2</v>
      </c>
      <c r="I291" s="764" t="str" cm="1">
        <f t="array" ref="I291">_xlfn.XLOOKUP(E291&amp;F291&amp;G291,'2.2 Perdidas por T&amp;D'!$B$12:$B$140&amp;'2.2 Perdidas por T&amp;D'!$C$12:$C$140&amp;'2.2 Perdidas por T&amp;D'!$D$12:$D$140,'2.2 Perdidas por T&amp;D'!$F$12:$F$140,"-")</f>
        <v>kgCO2e/kWh</v>
      </c>
      <c r="J291" s="764" t="str" cm="1">
        <f t="array" ref="J291">_xlfn.XLOOKUP(E291&amp;F291&amp;G291,'2.2 Perdidas por T&amp;D'!$B$12:$B$140&amp;'2.2 Perdidas por T&amp;D'!$C$12:$C$140&amp;'2.2 Perdidas por T&amp;D'!$D$12:$D$140,'2.2 Perdidas por T&amp;D'!$G$12:$G$140,"-")</f>
        <v>Base de Información de Eficiencia Energética - CEPAL- Enerdata, 2018 (https://biee-cepal.enerdata.net/es/datamapper/rate-of-electricity-t&amp;d-losses.html)</v>
      </c>
      <c r="K291" s="764" t="s">
        <v>102</v>
      </c>
      <c r="L291" s="768" t="s">
        <v>102</v>
      </c>
    </row>
    <row r="292" spans="2:12" ht="72">
      <c r="B292" s="764" t="s">
        <v>198</v>
      </c>
      <c r="C292" s="764" t="s">
        <v>44</v>
      </c>
      <c r="D292" s="764" t="s">
        <v>208</v>
      </c>
      <c r="E292" s="764" t="s">
        <v>203</v>
      </c>
      <c r="F292" s="775">
        <v>2017</v>
      </c>
      <c r="G292" s="764" t="s">
        <v>200</v>
      </c>
      <c r="H292" s="765" cm="1">
        <f t="array" ref="H292">_xlfn.XLOOKUP(E292&amp;F292&amp;G292,'2.2 Perdidas por T&amp;D'!$B$12:$B$140&amp;'2.2 Perdidas por T&amp;D'!$C$12:$C$140&amp;'2.2 Perdidas por T&amp;D'!$D$12:$D$140,'2.2 Perdidas por T&amp;D'!$E$12:$E$140,"-")</f>
        <v>19.174799999999998</v>
      </c>
      <c r="I292" s="764" t="str" cm="1">
        <f t="array" ref="I292">_xlfn.XLOOKUP(E292&amp;F292&amp;G292,'2.2 Perdidas por T&amp;D'!$B$12:$B$140&amp;'2.2 Perdidas por T&amp;D'!$C$12:$C$140&amp;'2.2 Perdidas por T&amp;D'!$D$12:$D$140,'2.2 Perdidas por T&amp;D'!$F$12:$F$140,"-")</f>
        <v>kgCO2e/MWh</v>
      </c>
      <c r="J292" s="764" t="str" cm="1">
        <f t="array" ref="J292">_xlfn.XLOOKUP(E292&amp;F292&amp;G292,'2.2 Perdidas por T&amp;D'!$B$12:$B$140&amp;'2.2 Perdidas por T&amp;D'!$C$12:$C$140&amp;'2.2 Perdidas por T&amp;D'!$D$12:$D$140,'2.2 Perdidas por T&amp;D'!$G$12:$G$140,"-")</f>
        <v>Base de Información de Eficiencia Energética - CEPAL- Enerdata, 2018 (https://biee-cepal.enerdata.net/es/datamapper/rate-of-electricity-t&amp;d-losses.html)</v>
      </c>
      <c r="K292" s="764" t="s">
        <v>102</v>
      </c>
      <c r="L292" s="768" t="s">
        <v>102</v>
      </c>
    </row>
    <row r="293" spans="2:12" ht="72">
      <c r="B293" s="764" t="s">
        <v>198</v>
      </c>
      <c r="C293" s="764" t="s">
        <v>44</v>
      </c>
      <c r="D293" s="764" t="s">
        <v>208</v>
      </c>
      <c r="E293" s="764" t="s">
        <v>203</v>
      </c>
      <c r="F293" s="775">
        <v>2017</v>
      </c>
      <c r="G293" s="764" t="s">
        <v>201</v>
      </c>
      <c r="H293" s="765" cm="1">
        <f t="array" ref="H293">_xlfn.XLOOKUP(E293&amp;F293&amp;G293,'2.2 Perdidas por T&amp;D'!$B$12:$B$140&amp;'2.2 Perdidas por T&amp;D'!$C$12:$C$140&amp;'2.2 Perdidas por T&amp;D'!$D$12:$D$140,'2.2 Perdidas por T&amp;D'!$E$12:$E$140,"-")</f>
        <v>19174.8</v>
      </c>
      <c r="I293" s="764" t="str" cm="1">
        <f t="array" ref="I293">_xlfn.XLOOKUP(E293&amp;F293&amp;G293,'2.2 Perdidas por T&amp;D'!$B$12:$B$140&amp;'2.2 Perdidas por T&amp;D'!$C$12:$C$140&amp;'2.2 Perdidas por T&amp;D'!$D$12:$D$140,'2.2 Perdidas por T&amp;D'!$F$12:$F$140,"-")</f>
        <v>kgCO2e/GWh</v>
      </c>
      <c r="J293" s="764" t="str" cm="1">
        <f t="array" ref="J293">_xlfn.XLOOKUP(E293&amp;F293&amp;G293,'2.2 Perdidas por T&amp;D'!$B$12:$B$140&amp;'2.2 Perdidas por T&amp;D'!$C$12:$C$140&amp;'2.2 Perdidas por T&amp;D'!$D$12:$D$140,'2.2 Perdidas por T&amp;D'!$G$12:$G$140,"-")</f>
        <v>Base de Información de Eficiencia Energética - CEPAL- Enerdata, 2018 (https://biee-cepal.enerdata.net/es/datamapper/rate-of-electricity-t&amp;d-losses.html)</v>
      </c>
      <c r="K293" s="764" t="s">
        <v>102</v>
      </c>
      <c r="L293" s="768" t="s">
        <v>102</v>
      </c>
    </row>
    <row r="294" spans="2:12" ht="72">
      <c r="B294" s="764" t="s">
        <v>198</v>
      </c>
      <c r="C294" s="764" t="s">
        <v>44</v>
      </c>
      <c r="D294" s="764" t="s">
        <v>208</v>
      </c>
      <c r="E294" s="764" t="s">
        <v>203</v>
      </c>
      <c r="F294" s="775">
        <v>2017</v>
      </c>
      <c r="G294" s="764" t="s">
        <v>202</v>
      </c>
      <c r="H294" s="765" cm="1">
        <f t="array" ref="H294">_xlfn.XLOOKUP(E294&amp;F294&amp;G294,'2.2 Perdidas por T&amp;D'!$B$12:$B$140&amp;'2.2 Perdidas por T&amp;D'!$C$12:$C$140&amp;'2.2 Perdidas por T&amp;D'!$D$12:$D$140,'2.2 Perdidas por T&amp;D'!$E$12:$E$140,"-")</f>
        <v>1.9174799999999999E-2</v>
      </c>
      <c r="I294" s="764" t="str" cm="1">
        <f t="array" ref="I294">_xlfn.XLOOKUP(E294&amp;F294&amp;G294,'2.2 Perdidas por T&amp;D'!$B$12:$B$140&amp;'2.2 Perdidas por T&amp;D'!$C$12:$C$140&amp;'2.2 Perdidas por T&amp;D'!$D$12:$D$140,'2.2 Perdidas por T&amp;D'!$F$12:$F$140,"-")</f>
        <v>kgCO2e/kWh</v>
      </c>
      <c r="J294" s="764" t="str" cm="1">
        <f t="array" ref="J294">_xlfn.XLOOKUP(E294&amp;F294&amp;G294,'2.2 Perdidas por T&amp;D'!$B$12:$B$140&amp;'2.2 Perdidas por T&amp;D'!$C$12:$C$140&amp;'2.2 Perdidas por T&amp;D'!$D$12:$D$140,'2.2 Perdidas por T&amp;D'!$G$12:$G$140,"-")</f>
        <v>Base de Información de Eficiencia Energética - CEPAL- Enerdata, 2018 (https://biee-cepal.enerdata.net/es/datamapper/rate-of-electricity-t&amp;d-losses.html)</v>
      </c>
      <c r="K294" s="764" t="s">
        <v>102</v>
      </c>
      <c r="L294" s="768" t="s">
        <v>102</v>
      </c>
    </row>
    <row r="295" spans="2:12" ht="72">
      <c r="B295" s="764" t="s">
        <v>198</v>
      </c>
      <c r="C295" s="764" t="s">
        <v>44</v>
      </c>
      <c r="D295" s="764" t="s">
        <v>208</v>
      </c>
      <c r="E295" s="764" t="s">
        <v>204</v>
      </c>
      <c r="F295" s="775">
        <v>2018</v>
      </c>
      <c r="G295" s="764" t="s">
        <v>200</v>
      </c>
      <c r="H295" s="765" cm="1">
        <f t="array" ref="H295">_xlfn.XLOOKUP(E295&amp;F295&amp;G295,'2.2 Perdidas por T&amp;D'!$B$12:$B$140&amp;'2.2 Perdidas por T&amp;D'!$C$12:$C$140&amp;'2.2 Perdidas por T&amp;D'!$D$12:$D$140,'2.2 Perdidas por T&amp;D'!$E$12:$E$140,"-")</f>
        <v>23.8659</v>
      </c>
      <c r="I295" s="764" t="str" cm="1">
        <f t="array" ref="I295">_xlfn.XLOOKUP(E295&amp;F295&amp;G295,'2.2 Perdidas por T&amp;D'!$B$12:$B$140&amp;'2.2 Perdidas por T&amp;D'!$C$12:$C$140&amp;'2.2 Perdidas por T&amp;D'!$D$12:$D$140,'2.2 Perdidas por T&amp;D'!$F$12:$F$140,"-")</f>
        <v>kgCO2e/MWh</v>
      </c>
      <c r="J295" s="764" t="str" cm="1">
        <f t="array" ref="J295">_xlfn.XLOOKUP(E295&amp;F295&amp;G295,'2.2 Perdidas por T&amp;D'!$B$12:$B$140&amp;'2.2 Perdidas por T&amp;D'!$C$12:$C$140&amp;'2.2 Perdidas por T&amp;D'!$D$12:$D$140,'2.2 Perdidas por T&amp;D'!$G$12:$G$140,"-")</f>
        <v>Base de Información de Eficiencia Energética - CEPAL- Enerdata, 2018 (https://biee-cepal.enerdata.net/es/datamapper/rate-of-electricity-t&amp;d-losses.html)</v>
      </c>
      <c r="K295" s="764" t="s">
        <v>102</v>
      </c>
      <c r="L295" s="768" t="s">
        <v>102</v>
      </c>
    </row>
    <row r="296" spans="2:12" ht="72">
      <c r="B296" s="764" t="s">
        <v>198</v>
      </c>
      <c r="C296" s="764" t="s">
        <v>44</v>
      </c>
      <c r="D296" s="764" t="s">
        <v>208</v>
      </c>
      <c r="E296" s="764" t="s">
        <v>204</v>
      </c>
      <c r="F296" s="775">
        <v>2018</v>
      </c>
      <c r="G296" s="764" t="s">
        <v>201</v>
      </c>
      <c r="H296" s="765" cm="1">
        <f t="array" ref="H296">_xlfn.XLOOKUP(E296&amp;F296&amp;G296,'2.2 Perdidas por T&amp;D'!$B$12:$B$140&amp;'2.2 Perdidas por T&amp;D'!$C$12:$C$140&amp;'2.2 Perdidas por T&amp;D'!$D$12:$D$140,'2.2 Perdidas por T&amp;D'!$E$12:$E$140,"-")</f>
        <v>23865.9</v>
      </c>
      <c r="I296" s="764" t="str" cm="1">
        <f t="array" ref="I296">_xlfn.XLOOKUP(E296&amp;F296&amp;G296,'2.2 Perdidas por T&amp;D'!$B$12:$B$140&amp;'2.2 Perdidas por T&amp;D'!$C$12:$C$140&amp;'2.2 Perdidas por T&amp;D'!$D$12:$D$140,'2.2 Perdidas por T&amp;D'!$F$12:$F$140,"-")</f>
        <v>kgCO2e/GWh</v>
      </c>
      <c r="J296" s="764" t="str" cm="1">
        <f t="array" ref="J296">_xlfn.XLOOKUP(E296&amp;F296&amp;G296,'2.2 Perdidas por T&amp;D'!$B$12:$B$140&amp;'2.2 Perdidas por T&amp;D'!$C$12:$C$140&amp;'2.2 Perdidas por T&amp;D'!$D$12:$D$140,'2.2 Perdidas por T&amp;D'!$G$12:$G$140,"-")</f>
        <v>Base de Información de Eficiencia Energética - CEPAL- Enerdata, 2018 (https://biee-cepal.enerdata.net/es/datamapper/rate-of-electricity-t&amp;d-losses.html)</v>
      </c>
      <c r="K296" s="764" t="s">
        <v>102</v>
      </c>
      <c r="L296" s="768" t="s">
        <v>102</v>
      </c>
    </row>
    <row r="297" spans="2:12" ht="72">
      <c r="B297" s="764" t="s">
        <v>198</v>
      </c>
      <c r="C297" s="764" t="s">
        <v>44</v>
      </c>
      <c r="D297" s="764" t="s">
        <v>208</v>
      </c>
      <c r="E297" s="764" t="s">
        <v>204</v>
      </c>
      <c r="F297" s="775">
        <v>2018</v>
      </c>
      <c r="G297" s="764" t="s">
        <v>202</v>
      </c>
      <c r="H297" s="765" cm="1">
        <f t="array" ref="H297">_xlfn.XLOOKUP(E297&amp;F297&amp;G297,'2.2 Perdidas por T&amp;D'!$B$12:$B$140&amp;'2.2 Perdidas por T&amp;D'!$C$12:$C$140&amp;'2.2 Perdidas por T&amp;D'!$D$12:$D$140,'2.2 Perdidas por T&amp;D'!$E$12:$E$140,"-")</f>
        <v>2.3865900000000002E-2</v>
      </c>
      <c r="I297" s="764" t="str" cm="1">
        <f t="array" ref="I297">_xlfn.XLOOKUP(E297&amp;F297&amp;G297,'2.2 Perdidas por T&amp;D'!$B$12:$B$140&amp;'2.2 Perdidas por T&amp;D'!$C$12:$C$140&amp;'2.2 Perdidas por T&amp;D'!$D$12:$D$140,'2.2 Perdidas por T&amp;D'!$F$12:$F$140,"-")</f>
        <v>kgCO2e/kWh</v>
      </c>
      <c r="J297" s="764" t="str" cm="1">
        <f t="array" ref="J297">_xlfn.XLOOKUP(E297&amp;F297&amp;G297,'2.2 Perdidas por T&amp;D'!$B$12:$B$140&amp;'2.2 Perdidas por T&amp;D'!$C$12:$C$140&amp;'2.2 Perdidas por T&amp;D'!$D$12:$D$140,'2.2 Perdidas por T&amp;D'!$G$12:$G$140,"-")</f>
        <v>Base de Información de Eficiencia Energética - CEPAL- Enerdata, 2018 (https://biee-cepal.enerdata.net/es/datamapper/rate-of-electricity-t&amp;d-losses.html)</v>
      </c>
      <c r="K297" s="764" t="s">
        <v>102</v>
      </c>
      <c r="L297" s="768" t="s">
        <v>102</v>
      </c>
    </row>
    <row r="298" spans="2:12" ht="72">
      <c r="B298" s="764" t="s">
        <v>198</v>
      </c>
      <c r="C298" s="764" t="s">
        <v>44</v>
      </c>
      <c r="D298" s="764" t="s">
        <v>208</v>
      </c>
      <c r="E298" s="764" t="s">
        <v>204</v>
      </c>
      <c r="F298" s="775">
        <v>2019</v>
      </c>
      <c r="G298" s="764" t="s">
        <v>200</v>
      </c>
      <c r="H298" s="765" cm="1">
        <f t="array" ref="H298">_xlfn.XLOOKUP(E298&amp;F298&amp;G298,'2.2 Perdidas por T&amp;D'!$B$12:$B$140&amp;'2.2 Perdidas por T&amp;D'!$C$12:$C$140&amp;'2.2 Perdidas por T&amp;D'!$D$12:$D$140,'2.2 Perdidas por T&amp;D'!$E$12:$E$140,"-")</f>
        <v>23.119200000000003</v>
      </c>
      <c r="I298" s="764" t="str" cm="1">
        <f t="array" ref="I298">_xlfn.XLOOKUP(E298&amp;F298&amp;G298,'2.2 Perdidas por T&amp;D'!$B$12:$B$140&amp;'2.2 Perdidas por T&amp;D'!$C$12:$C$140&amp;'2.2 Perdidas por T&amp;D'!$D$12:$D$140,'2.2 Perdidas por T&amp;D'!$F$12:$F$140,"-")</f>
        <v>kgCO2e/MWh</v>
      </c>
      <c r="J298" s="764" t="str" cm="1">
        <f t="array" ref="J298">_xlfn.XLOOKUP(E298&amp;F298&amp;G298,'2.2 Perdidas por T&amp;D'!$B$12:$B$140&amp;'2.2 Perdidas por T&amp;D'!$C$12:$C$140&amp;'2.2 Perdidas por T&amp;D'!$D$12:$D$140,'2.2 Perdidas por T&amp;D'!$G$12:$G$140,"-")</f>
        <v>Base de Información de Eficiencia Energética - CEPAL- Enerdata, 2018 (https://biee-cepal.enerdata.net/es/datamapper/rate-of-electricity-t&amp;d-losses.html)</v>
      </c>
      <c r="K298" s="764" t="s">
        <v>102</v>
      </c>
      <c r="L298" s="768" t="s">
        <v>102</v>
      </c>
    </row>
    <row r="299" spans="2:12" ht="72">
      <c r="B299" s="764" t="s">
        <v>198</v>
      </c>
      <c r="C299" s="764" t="s">
        <v>44</v>
      </c>
      <c r="D299" s="764" t="s">
        <v>208</v>
      </c>
      <c r="E299" s="764" t="s">
        <v>204</v>
      </c>
      <c r="F299" s="775">
        <v>2019</v>
      </c>
      <c r="G299" s="764" t="s">
        <v>201</v>
      </c>
      <c r="H299" s="765" cm="1">
        <f t="array" ref="H299">_xlfn.XLOOKUP(E299&amp;F299&amp;G299,'2.2 Perdidas por T&amp;D'!$B$12:$B$140&amp;'2.2 Perdidas por T&amp;D'!$C$12:$C$140&amp;'2.2 Perdidas por T&amp;D'!$D$12:$D$140,'2.2 Perdidas por T&amp;D'!$E$12:$E$140,"-")</f>
        <v>23119.200000000001</v>
      </c>
      <c r="I299" s="764" t="str" cm="1">
        <f t="array" ref="I299">_xlfn.XLOOKUP(E299&amp;F299&amp;G299,'2.2 Perdidas por T&amp;D'!$B$12:$B$140&amp;'2.2 Perdidas por T&amp;D'!$C$12:$C$140&amp;'2.2 Perdidas por T&amp;D'!$D$12:$D$140,'2.2 Perdidas por T&amp;D'!$F$12:$F$140,"-")</f>
        <v>kgCO2e/GWh</v>
      </c>
      <c r="J299" s="764" t="str" cm="1">
        <f t="array" ref="J299">_xlfn.XLOOKUP(E299&amp;F299&amp;G299,'2.2 Perdidas por T&amp;D'!$B$12:$B$140&amp;'2.2 Perdidas por T&amp;D'!$C$12:$C$140&amp;'2.2 Perdidas por T&amp;D'!$D$12:$D$140,'2.2 Perdidas por T&amp;D'!$G$12:$G$140,"-")</f>
        <v>Base de Información de Eficiencia Energética - CEPAL- Enerdata, 2018 (https://biee-cepal.enerdata.net/es/datamapper/rate-of-electricity-t&amp;d-losses.html)</v>
      </c>
      <c r="K299" s="764" t="s">
        <v>102</v>
      </c>
      <c r="L299" s="768" t="s">
        <v>102</v>
      </c>
    </row>
    <row r="300" spans="2:12" ht="72">
      <c r="B300" s="764" t="s">
        <v>198</v>
      </c>
      <c r="C300" s="764" t="s">
        <v>44</v>
      </c>
      <c r="D300" s="764" t="s">
        <v>208</v>
      </c>
      <c r="E300" s="764" t="s">
        <v>204</v>
      </c>
      <c r="F300" s="775">
        <v>2019</v>
      </c>
      <c r="G300" s="764" t="s">
        <v>202</v>
      </c>
      <c r="H300" s="765" cm="1">
        <f t="array" ref="H300">_xlfn.XLOOKUP(E300&amp;F300&amp;G300,'2.2 Perdidas por T&amp;D'!$B$12:$B$140&amp;'2.2 Perdidas por T&amp;D'!$C$12:$C$140&amp;'2.2 Perdidas por T&amp;D'!$D$12:$D$140,'2.2 Perdidas por T&amp;D'!$E$12:$E$140,"-")</f>
        <v>2.3119200000000003E-2</v>
      </c>
      <c r="I300" s="764" t="str" cm="1">
        <f t="array" ref="I300">_xlfn.XLOOKUP(E300&amp;F300&amp;G300,'2.2 Perdidas por T&amp;D'!$B$12:$B$140&amp;'2.2 Perdidas por T&amp;D'!$C$12:$C$140&amp;'2.2 Perdidas por T&amp;D'!$D$12:$D$140,'2.2 Perdidas por T&amp;D'!$F$12:$F$140,"-")</f>
        <v>kgCO2e/kWh</v>
      </c>
      <c r="J300" s="764" t="str" cm="1">
        <f t="array" ref="J300">_xlfn.XLOOKUP(E300&amp;F300&amp;G300,'2.2 Perdidas por T&amp;D'!$B$12:$B$140&amp;'2.2 Perdidas por T&amp;D'!$C$12:$C$140&amp;'2.2 Perdidas por T&amp;D'!$D$12:$D$140,'2.2 Perdidas por T&amp;D'!$G$12:$G$140,"-")</f>
        <v>Base de Información de Eficiencia Energética - CEPAL- Enerdata, 2018 (https://biee-cepal.enerdata.net/es/datamapper/rate-of-electricity-t&amp;d-losses.html)</v>
      </c>
      <c r="K300" s="764" t="s">
        <v>102</v>
      </c>
      <c r="L300" s="768" t="s">
        <v>102</v>
      </c>
    </row>
    <row r="301" spans="2:12" ht="72">
      <c r="B301" s="764" t="s">
        <v>198</v>
      </c>
      <c r="C301" s="764" t="s">
        <v>44</v>
      </c>
      <c r="D301" s="764" t="s">
        <v>208</v>
      </c>
      <c r="E301" s="764" t="s">
        <v>204</v>
      </c>
      <c r="F301" s="775">
        <v>2020</v>
      </c>
      <c r="G301" s="764" t="s">
        <v>200</v>
      </c>
      <c r="H301" s="765" cm="1">
        <f t="array" ref="H301">_xlfn.XLOOKUP(E301&amp;F301&amp;G301,'2.2 Perdidas por T&amp;D'!$B$12:$B$140&amp;'2.2 Perdidas por T&amp;D'!$C$12:$C$140&amp;'2.2 Perdidas por T&amp;D'!$D$12:$D$140,'2.2 Perdidas por T&amp;D'!$E$12:$E$140,"-")</f>
        <v>21.8538</v>
      </c>
      <c r="I301" s="764" t="str" cm="1">
        <f t="array" ref="I301">_xlfn.XLOOKUP(E301&amp;F301&amp;G301,'2.2 Perdidas por T&amp;D'!$B$12:$B$140&amp;'2.2 Perdidas por T&amp;D'!$C$12:$C$140&amp;'2.2 Perdidas por T&amp;D'!$D$12:$D$140,'2.2 Perdidas por T&amp;D'!$F$12:$F$140,"-")</f>
        <v>kgCO2e/MWh</v>
      </c>
      <c r="J301" s="764" t="str" cm="1">
        <f t="array" ref="J301">_xlfn.XLOOKUP(E301&amp;F301&amp;G301,'2.2 Perdidas por T&amp;D'!$B$12:$B$140&amp;'2.2 Perdidas por T&amp;D'!$C$12:$C$140&amp;'2.2 Perdidas por T&amp;D'!$D$12:$D$140,'2.2 Perdidas por T&amp;D'!$G$12:$G$140,"-")</f>
        <v>Base de Información de Eficiencia Energética - CEPAL- Enerdata, 2018 (https://biee-cepal.enerdata.net/es/datamapper/rate-of-electricity-t&amp;d-losses.html)</v>
      </c>
      <c r="K301" s="764" t="s">
        <v>102</v>
      </c>
      <c r="L301" s="768" t="s">
        <v>102</v>
      </c>
    </row>
    <row r="302" spans="2:12" ht="72">
      <c r="B302" s="764" t="s">
        <v>198</v>
      </c>
      <c r="C302" s="764" t="s">
        <v>44</v>
      </c>
      <c r="D302" s="764" t="s">
        <v>208</v>
      </c>
      <c r="E302" s="764" t="s">
        <v>204</v>
      </c>
      <c r="F302" s="775">
        <v>2020</v>
      </c>
      <c r="G302" s="764" t="s">
        <v>201</v>
      </c>
      <c r="H302" s="765" cm="1">
        <f t="array" ref="H302">_xlfn.XLOOKUP(E302&amp;F302&amp;G302,'2.2 Perdidas por T&amp;D'!$B$12:$B$140&amp;'2.2 Perdidas por T&amp;D'!$C$12:$C$140&amp;'2.2 Perdidas por T&amp;D'!$D$12:$D$140,'2.2 Perdidas por T&amp;D'!$E$12:$E$140,"-")</f>
        <v>21853.8</v>
      </c>
      <c r="I302" s="764" t="str" cm="1">
        <f t="array" ref="I302">_xlfn.XLOOKUP(E302&amp;F302&amp;G302,'2.2 Perdidas por T&amp;D'!$B$12:$B$140&amp;'2.2 Perdidas por T&amp;D'!$C$12:$C$140&amp;'2.2 Perdidas por T&amp;D'!$D$12:$D$140,'2.2 Perdidas por T&amp;D'!$F$12:$F$140,"-")</f>
        <v>kgCO2e/GWh</v>
      </c>
      <c r="J302" s="764" t="str" cm="1">
        <f t="array" ref="J302">_xlfn.XLOOKUP(E302&amp;F302&amp;G302,'2.2 Perdidas por T&amp;D'!$B$12:$B$140&amp;'2.2 Perdidas por T&amp;D'!$C$12:$C$140&amp;'2.2 Perdidas por T&amp;D'!$D$12:$D$140,'2.2 Perdidas por T&amp;D'!$G$12:$G$140,"-")</f>
        <v>Base de Información de Eficiencia Energética - CEPAL- Enerdata, 2018 (https://biee-cepal.enerdata.net/es/datamapper/rate-of-electricity-t&amp;d-losses.html)</v>
      </c>
      <c r="K302" s="764" t="s">
        <v>102</v>
      </c>
      <c r="L302" s="768" t="s">
        <v>102</v>
      </c>
    </row>
    <row r="303" spans="2:12" ht="72">
      <c r="B303" s="764" t="s">
        <v>198</v>
      </c>
      <c r="C303" s="764" t="s">
        <v>44</v>
      </c>
      <c r="D303" s="764" t="s">
        <v>208</v>
      </c>
      <c r="E303" s="764" t="s">
        <v>204</v>
      </c>
      <c r="F303" s="775">
        <v>2020</v>
      </c>
      <c r="G303" s="764" t="s">
        <v>202</v>
      </c>
      <c r="H303" s="765" cm="1">
        <f t="array" ref="H303">_xlfn.XLOOKUP(E303&amp;F303&amp;G303,'2.2 Perdidas por T&amp;D'!$B$12:$B$140&amp;'2.2 Perdidas por T&amp;D'!$C$12:$C$140&amp;'2.2 Perdidas por T&amp;D'!$D$12:$D$140,'2.2 Perdidas por T&amp;D'!$E$12:$E$140,"-")</f>
        <v>2.18538E-2</v>
      </c>
      <c r="I303" s="764" t="str" cm="1">
        <f t="array" ref="I303">_xlfn.XLOOKUP(E303&amp;F303&amp;G303,'2.2 Perdidas por T&amp;D'!$B$12:$B$140&amp;'2.2 Perdidas por T&amp;D'!$C$12:$C$140&amp;'2.2 Perdidas por T&amp;D'!$D$12:$D$140,'2.2 Perdidas por T&amp;D'!$F$12:$F$140,"-")</f>
        <v>kgCO2e/kWh</v>
      </c>
      <c r="J303" s="764" t="str" cm="1">
        <f t="array" ref="J303">_xlfn.XLOOKUP(E303&amp;F303&amp;G303,'2.2 Perdidas por T&amp;D'!$B$12:$B$140&amp;'2.2 Perdidas por T&amp;D'!$C$12:$C$140&amp;'2.2 Perdidas por T&amp;D'!$D$12:$D$140,'2.2 Perdidas por T&amp;D'!$G$12:$G$140,"-")</f>
        <v>Base de Información de Eficiencia Energética - CEPAL- Enerdata, 2018 (https://biee-cepal.enerdata.net/es/datamapper/rate-of-electricity-t&amp;d-losses.html)</v>
      </c>
      <c r="K303" s="764" t="s">
        <v>102</v>
      </c>
      <c r="L303" s="768" t="s">
        <v>102</v>
      </c>
    </row>
    <row r="304" spans="2:12" ht="72">
      <c r="B304" s="764" t="s">
        <v>198</v>
      </c>
      <c r="C304" s="764" t="s">
        <v>44</v>
      </c>
      <c r="D304" s="764" t="s">
        <v>208</v>
      </c>
      <c r="E304" s="764" t="s">
        <v>204</v>
      </c>
      <c r="F304" s="775">
        <v>2021</v>
      </c>
      <c r="G304" s="764" t="s">
        <v>200</v>
      </c>
      <c r="H304" s="765" cm="1">
        <f t="array" ref="H304">_xlfn.XLOOKUP(E304&amp;F304&amp;G304,'2.2 Perdidas por T&amp;D'!$B$12:$B$140&amp;'2.2 Perdidas por T&amp;D'!$C$12:$C$140&amp;'2.2 Perdidas por T&amp;D'!$D$12:$D$140,'2.2 Perdidas por T&amp;D'!$E$12:$E$140,"-")</f>
        <v>22.2699</v>
      </c>
      <c r="I304" s="764" t="str" cm="1">
        <f t="array" ref="I304">_xlfn.XLOOKUP(E304&amp;F304&amp;G304,'2.2 Perdidas por T&amp;D'!$B$12:$B$140&amp;'2.2 Perdidas por T&amp;D'!$C$12:$C$140&amp;'2.2 Perdidas por T&amp;D'!$D$12:$D$140,'2.2 Perdidas por T&amp;D'!$F$12:$F$140,"-")</f>
        <v>kgCO2e/MWh</v>
      </c>
      <c r="J304" s="764" t="str" cm="1">
        <f t="array" ref="J304">_xlfn.XLOOKUP(E304&amp;F304&amp;G304,'2.2 Perdidas por T&amp;D'!$B$12:$B$140&amp;'2.2 Perdidas por T&amp;D'!$C$12:$C$140&amp;'2.2 Perdidas por T&amp;D'!$D$12:$D$140,'2.2 Perdidas por T&amp;D'!$G$12:$G$140,"-")</f>
        <v>Base de Información de Eficiencia Energética - CEPAL- Enerdata, 2018 (https://biee-cepal.enerdata.net/es/datamapper/rate-of-electricity-t&amp;d-losses.html)</v>
      </c>
      <c r="K304" s="764" t="s">
        <v>102</v>
      </c>
      <c r="L304" s="768" t="s">
        <v>102</v>
      </c>
    </row>
    <row r="305" spans="2:12" ht="72">
      <c r="B305" s="764" t="s">
        <v>198</v>
      </c>
      <c r="C305" s="764" t="s">
        <v>44</v>
      </c>
      <c r="D305" s="764" t="s">
        <v>208</v>
      </c>
      <c r="E305" s="764" t="s">
        <v>204</v>
      </c>
      <c r="F305" s="775">
        <v>2021</v>
      </c>
      <c r="G305" s="764" t="s">
        <v>201</v>
      </c>
      <c r="H305" s="765" cm="1">
        <f t="array" ref="H305">_xlfn.XLOOKUP(E305&amp;F305&amp;G305,'2.2 Perdidas por T&amp;D'!$B$12:$B$140&amp;'2.2 Perdidas por T&amp;D'!$C$12:$C$140&amp;'2.2 Perdidas por T&amp;D'!$D$12:$D$140,'2.2 Perdidas por T&amp;D'!$E$12:$E$140,"-")</f>
        <v>22269.9</v>
      </c>
      <c r="I305" s="764" t="str" cm="1">
        <f t="array" ref="I305">_xlfn.XLOOKUP(E305&amp;F305&amp;G305,'2.2 Perdidas por T&amp;D'!$B$12:$B$140&amp;'2.2 Perdidas por T&amp;D'!$C$12:$C$140&amp;'2.2 Perdidas por T&amp;D'!$D$12:$D$140,'2.2 Perdidas por T&amp;D'!$F$12:$F$140,"-")</f>
        <v>kgCO2e/GWh</v>
      </c>
      <c r="J305" s="764" t="str" cm="1">
        <f t="array" ref="J305">_xlfn.XLOOKUP(E305&amp;F305&amp;G305,'2.2 Perdidas por T&amp;D'!$B$12:$B$140&amp;'2.2 Perdidas por T&amp;D'!$C$12:$C$140&amp;'2.2 Perdidas por T&amp;D'!$D$12:$D$140,'2.2 Perdidas por T&amp;D'!$G$12:$G$140,"-")</f>
        <v>Base de Información de Eficiencia Energética - CEPAL- Enerdata, 2018 (https://biee-cepal.enerdata.net/es/datamapper/rate-of-electricity-t&amp;d-losses.html)</v>
      </c>
      <c r="K305" s="764" t="s">
        <v>102</v>
      </c>
      <c r="L305" s="768" t="s">
        <v>102</v>
      </c>
    </row>
    <row r="306" spans="2:12" ht="72">
      <c r="B306" s="764" t="s">
        <v>198</v>
      </c>
      <c r="C306" s="764" t="s">
        <v>44</v>
      </c>
      <c r="D306" s="764" t="s">
        <v>208</v>
      </c>
      <c r="E306" s="764" t="s">
        <v>204</v>
      </c>
      <c r="F306" s="775">
        <v>2021</v>
      </c>
      <c r="G306" s="764" t="s">
        <v>202</v>
      </c>
      <c r="H306" s="765" cm="1">
        <f t="array" ref="H306">_xlfn.XLOOKUP(E306&amp;F306&amp;G306,'2.2 Perdidas por T&amp;D'!$B$12:$B$140&amp;'2.2 Perdidas por T&amp;D'!$C$12:$C$140&amp;'2.2 Perdidas por T&amp;D'!$D$12:$D$140,'2.2 Perdidas por T&amp;D'!$E$12:$E$140,"-")</f>
        <v>2.2269899999999999E-2</v>
      </c>
      <c r="I306" s="764" t="str" cm="1">
        <f t="array" ref="I306">_xlfn.XLOOKUP(E306&amp;F306&amp;G306,'2.2 Perdidas por T&amp;D'!$B$12:$B$140&amp;'2.2 Perdidas por T&amp;D'!$C$12:$C$140&amp;'2.2 Perdidas por T&amp;D'!$D$12:$D$140,'2.2 Perdidas por T&amp;D'!$F$12:$F$140,"-")</f>
        <v>kgCO2e/kWh</v>
      </c>
      <c r="J306" s="764" t="str" cm="1">
        <f t="array" ref="J306">_xlfn.XLOOKUP(E306&amp;F306&amp;G306,'2.2 Perdidas por T&amp;D'!$B$12:$B$140&amp;'2.2 Perdidas por T&amp;D'!$C$12:$C$140&amp;'2.2 Perdidas por T&amp;D'!$D$12:$D$140,'2.2 Perdidas por T&amp;D'!$G$12:$G$140,"-")</f>
        <v>Base de Información de Eficiencia Energética - CEPAL- Enerdata, 2018 (https://biee-cepal.enerdata.net/es/datamapper/rate-of-electricity-t&amp;d-losses.html)</v>
      </c>
      <c r="K306" s="764" t="s">
        <v>102</v>
      </c>
      <c r="L306" s="768" t="s">
        <v>102</v>
      </c>
    </row>
    <row r="307" spans="2:12" ht="72">
      <c r="B307" s="764" t="s">
        <v>198</v>
      </c>
      <c r="C307" s="764" t="s">
        <v>44</v>
      </c>
      <c r="D307" s="764" t="s">
        <v>208</v>
      </c>
      <c r="E307" s="764" t="s">
        <v>204</v>
      </c>
      <c r="F307" s="775">
        <v>2022</v>
      </c>
      <c r="G307" s="764" t="s">
        <v>200</v>
      </c>
      <c r="H307" s="765" cm="1">
        <f t="array" ref="H307">_xlfn.XLOOKUP(E307&amp;F307&amp;G307,'2.2 Perdidas por T&amp;D'!$B$12:$B$140&amp;'2.2 Perdidas por T&amp;D'!$C$12:$C$140&amp;'2.2 Perdidas por T&amp;D'!$D$12:$D$140,'2.2 Perdidas por T&amp;D'!$E$12:$E$140,"-")</f>
        <v>17.134200000000003</v>
      </c>
      <c r="I307" s="764" t="str" cm="1">
        <f t="array" ref="I307">_xlfn.XLOOKUP(E307&amp;F307&amp;G307,'2.2 Perdidas por T&amp;D'!$B$12:$B$140&amp;'2.2 Perdidas por T&amp;D'!$C$12:$C$140&amp;'2.2 Perdidas por T&amp;D'!$D$12:$D$140,'2.2 Perdidas por T&amp;D'!$F$12:$F$140,"-")</f>
        <v>kgCO2e/MWh</v>
      </c>
      <c r="J307" s="764" t="str" cm="1">
        <f t="array" ref="J307">_xlfn.XLOOKUP(E307&amp;F307&amp;G307,'2.2 Perdidas por T&amp;D'!$B$12:$B$140&amp;'2.2 Perdidas por T&amp;D'!$C$12:$C$140&amp;'2.2 Perdidas por T&amp;D'!$D$12:$D$140,'2.2 Perdidas por T&amp;D'!$G$12:$G$140,"-")</f>
        <v>Base de Información de Eficiencia Energética - CEPAL- Enerdata, 2018 (https://biee-cepal.enerdata.net/es/datamapper/rate-of-electricity-t&amp;d-losses.html)</v>
      </c>
      <c r="K307" s="764" t="s">
        <v>102</v>
      </c>
      <c r="L307" s="768" t="s">
        <v>102</v>
      </c>
    </row>
    <row r="308" spans="2:12" ht="72">
      <c r="B308" s="764" t="s">
        <v>198</v>
      </c>
      <c r="C308" s="764" t="s">
        <v>44</v>
      </c>
      <c r="D308" s="764" t="s">
        <v>208</v>
      </c>
      <c r="E308" s="764" t="s">
        <v>204</v>
      </c>
      <c r="F308" s="775">
        <v>2022</v>
      </c>
      <c r="G308" s="764" t="s">
        <v>201</v>
      </c>
      <c r="H308" s="765" cm="1">
        <f t="array" ref="H308">_xlfn.XLOOKUP(E308&amp;F308&amp;G308,'2.2 Perdidas por T&amp;D'!$B$12:$B$140&amp;'2.2 Perdidas por T&amp;D'!$C$12:$C$140&amp;'2.2 Perdidas por T&amp;D'!$D$12:$D$140,'2.2 Perdidas por T&amp;D'!$E$12:$E$140,"-")</f>
        <v>17134.2</v>
      </c>
      <c r="I308" s="764" t="str" cm="1">
        <f t="array" ref="I308">_xlfn.XLOOKUP(E308&amp;F308&amp;G308,'2.2 Perdidas por T&amp;D'!$B$12:$B$140&amp;'2.2 Perdidas por T&amp;D'!$C$12:$C$140&amp;'2.2 Perdidas por T&amp;D'!$D$12:$D$140,'2.2 Perdidas por T&amp;D'!$F$12:$F$140,"-")</f>
        <v>kgCO2e/GWh</v>
      </c>
      <c r="J308" s="764" t="str" cm="1">
        <f t="array" ref="J308">_xlfn.XLOOKUP(E308&amp;F308&amp;G308,'2.2 Perdidas por T&amp;D'!$B$12:$B$140&amp;'2.2 Perdidas por T&amp;D'!$C$12:$C$140&amp;'2.2 Perdidas por T&amp;D'!$D$12:$D$140,'2.2 Perdidas por T&amp;D'!$G$12:$G$140,"-")</f>
        <v>Base de Información de Eficiencia Energética - CEPAL- Enerdata, 2018 (https://biee-cepal.enerdata.net/es/datamapper/rate-of-electricity-t&amp;d-losses.html)</v>
      </c>
      <c r="K308" s="764" t="s">
        <v>102</v>
      </c>
      <c r="L308" s="768" t="s">
        <v>102</v>
      </c>
    </row>
    <row r="309" spans="2:12" ht="72">
      <c r="B309" s="764" t="s">
        <v>198</v>
      </c>
      <c r="C309" s="764" t="s">
        <v>44</v>
      </c>
      <c r="D309" s="764" t="s">
        <v>208</v>
      </c>
      <c r="E309" s="764" t="s">
        <v>204</v>
      </c>
      <c r="F309" s="775">
        <v>2022</v>
      </c>
      <c r="G309" s="764" t="s">
        <v>202</v>
      </c>
      <c r="H309" s="765" cm="1">
        <f t="array" ref="H309">_xlfn.XLOOKUP(E309&amp;F309&amp;G309,'2.2 Perdidas por T&amp;D'!$B$12:$B$140&amp;'2.2 Perdidas por T&amp;D'!$C$12:$C$140&amp;'2.2 Perdidas por T&amp;D'!$D$12:$D$140,'2.2 Perdidas por T&amp;D'!$E$12:$E$140,"-")</f>
        <v>1.7134200000000002E-2</v>
      </c>
      <c r="I309" s="764" t="str" cm="1">
        <f t="array" ref="I309">_xlfn.XLOOKUP(E309&amp;F309&amp;G309,'2.2 Perdidas por T&amp;D'!$B$12:$B$140&amp;'2.2 Perdidas por T&amp;D'!$C$12:$C$140&amp;'2.2 Perdidas por T&amp;D'!$D$12:$D$140,'2.2 Perdidas por T&amp;D'!$F$12:$F$140,"-")</f>
        <v>kgCO2e/kWh</v>
      </c>
      <c r="J309" s="764" t="str" cm="1">
        <f t="array" ref="J309">_xlfn.XLOOKUP(E309&amp;F309&amp;G309,'2.2 Perdidas por T&amp;D'!$B$12:$B$140&amp;'2.2 Perdidas por T&amp;D'!$C$12:$C$140&amp;'2.2 Perdidas por T&amp;D'!$D$12:$D$140,'2.2 Perdidas por T&amp;D'!$G$12:$G$140,"-")</f>
        <v>Base de Información de Eficiencia Energética - CEPAL- Enerdata, 2018 (https://biee-cepal.enerdata.net/es/datamapper/rate-of-electricity-t&amp;d-losses.html)</v>
      </c>
      <c r="K309" s="764" t="s">
        <v>102</v>
      </c>
      <c r="L309" s="768" t="s">
        <v>102</v>
      </c>
    </row>
    <row r="310" spans="2:12" ht="72">
      <c r="B310" s="764" t="s">
        <v>198</v>
      </c>
      <c r="C310" s="764" t="s">
        <v>44</v>
      </c>
      <c r="D310" s="764" t="s">
        <v>208</v>
      </c>
      <c r="E310" s="764" t="s">
        <v>204</v>
      </c>
      <c r="F310" s="775">
        <v>2023</v>
      </c>
      <c r="G310" s="764" t="s">
        <v>200</v>
      </c>
      <c r="H310" s="765" cm="1">
        <f t="array" ref="H310">_xlfn.XLOOKUP(E310&amp;F310&amp;G310,'2.2 Perdidas por T&amp;D'!$B$12:$B$140&amp;'2.2 Perdidas por T&amp;D'!$C$12:$C$140&amp;'2.2 Perdidas por T&amp;D'!$D$12:$D$140,'2.2 Perdidas por T&amp;D'!$E$12:$E$140,"-")</f>
        <v>13.7997</v>
      </c>
      <c r="I310" s="764" t="str" cm="1">
        <f t="array" ref="I310">_xlfn.XLOOKUP(E310&amp;F310&amp;G310,'2.2 Perdidas por T&amp;D'!$B$12:$B$140&amp;'2.2 Perdidas por T&amp;D'!$C$12:$C$140&amp;'2.2 Perdidas por T&amp;D'!$D$12:$D$140,'2.2 Perdidas por T&amp;D'!$F$12:$F$140,"-")</f>
        <v>kgCO2e/MWh</v>
      </c>
      <c r="J310" s="764" t="str" cm="1">
        <f t="array" ref="J310">_xlfn.XLOOKUP(E310&amp;F310&amp;G310,'2.2 Perdidas por T&amp;D'!$B$12:$B$140&amp;'2.2 Perdidas por T&amp;D'!$C$12:$C$140&amp;'2.2 Perdidas por T&amp;D'!$D$12:$D$140,'2.2 Perdidas por T&amp;D'!$G$12:$G$140,"-")</f>
        <v>Base de Información de Eficiencia Energética - CEPAL- Enerdata, 2018 (https://biee-cepal.enerdata.net/es/datamapper/rate-of-electricity-t&amp;d-losses.html)</v>
      </c>
      <c r="K310" s="764" t="s">
        <v>102</v>
      </c>
      <c r="L310" s="768" t="s">
        <v>102</v>
      </c>
    </row>
    <row r="311" spans="2:12" ht="72">
      <c r="B311" s="764" t="s">
        <v>198</v>
      </c>
      <c r="C311" s="764" t="s">
        <v>44</v>
      </c>
      <c r="D311" s="764" t="s">
        <v>208</v>
      </c>
      <c r="E311" s="764" t="s">
        <v>204</v>
      </c>
      <c r="F311" s="775">
        <v>2023</v>
      </c>
      <c r="G311" s="764" t="s">
        <v>201</v>
      </c>
      <c r="H311" s="765" cm="1">
        <f t="array" ref="H311">_xlfn.XLOOKUP(E311&amp;F311&amp;G311,'2.2 Perdidas por T&amp;D'!$B$12:$B$140&amp;'2.2 Perdidas por T&amp;D'!$C$12:$C$140&amp;'2.2 Perdidas por T&amp;D'!$D$12:$D$140,'2.2 Perdidas por T&amp;D'!$E$12:$E$140,"-")</f>
        <v>13799.7</v>
      </c>
      <c r="I311" s="764" t="str" cm="1">
        <f t="array" ref="I311">_xlfn.XLOOKUP(E311&amp;F311&amp;G311,'2.2 Perdidas por T&amp;D'!$B$12:$B$140&amp;'2.2 Perdidas por T&amp;D'!$C$12:$C$140&amp;'2.2 Perdidas por T&amp;D'!$D$12:$D$140,'2.2 Perdidas por T&amp;D'!$F$12:$F$140,"-")</f>
        <v>kgCO2e/GWh</v>
      </c>
      <c r="J311" s="764" t="str" cm="1">
        <f t="array" ref="J311">_xlfn.XLOOKUP(E311&amp;F311&amp;G311,'2.2 Perdidas por T&amp;D'!$B$12:$B$140&amp;'2.2 Perdidas por T&amp;D'!$C$12:$C$140&amp;'2.2 Perdidas por T&amp;D'!$D$12:$D$140,'2.2 Perdidas por T&amp;D'!$G$12:$G$140,"-")</f>
        <v>Base de Información de Eficiencia Energética - CEPAL- Enerdata, 2018 (https://biee-cepal.enerdata.net/es/datamapper/rate-of-electricity-t&amp;d-losses.html)</v>
      </c>
      <c r="K311" s="764" t="s">
        <v>102</v>
      </c>
      <c r="L311" s="768" t="s">
        <v>102</v>
      </c>
    </row>
    <row r="312" spans="2:12" ht="72">
      <c r="B312" s="764" t="s">
        <v>198</v>
      </c>
      <c r="C312" s="764" t="s">
        <v>44</v>
      </c>
      <c r="D312" s="764" t="s">
        <v>208</v>
      </c>
      <c r="E312" s="764" t="s">
        <v>204</v>
      </c>
      <c r="F312" s="775">
        <v>2023</v>
      </c>
      <c r="G312" s="764" t="s">
        <v>202</v>
      </c>
      <c r="H312" s="765" cm="1">
        <f t="array" ref="H312">_xlfn.XLOOKUP(E312&amp;F312&amp;G312,'2.2 Perdidas por T&amp;D'!$B$12:$B$140&amp;'2.2 Perdidas por T&amp;D'!$C$12:$C$140&amp;'2.2 Perdidas por T&amp;D'!$D$12:$D$140,'2.2 Perdidas por T&amp;D'!$E$12:$E$140,"-")</f>
        <v>1.3799700000000002E-2</v>
      </c>
      <c r="I312" s="764" t="str" cm="1">
        <f t="array" ref="I312">_xlfn.XLOOKUP(E312&amp;F312&amp;G312,'2.2 Perdidas por T&amp;D'!$B$12:$B$140&amp;'2.2 Perdidas por T&amp;D'!$C$12:$C$140&amp;'2.2 Perdidas por T&amp;D'!$D$12:$D$140,'2.2 Perdidas por T&amp;D'!$F$12:$F$140,"-")</f>
        <v>kgCO2e/kWh</v>
      </c>
      <c r="J312" s="764" t="str" cm="1">
        <f t="array" ref="J312">_xlfn.XLOOKUP(E312&amp;F312&amp;G312,'2.2 Perdidas por T&amp;D'!$B$12:$B$140&amp;'2.2 Perdidas por T&amp;D'!$C$12:$C$140&amp;'2.2 Perdidas por T&amp;D'!$D$12:$D$140,'2.2 Perdidas por T&amp;D'!$G$12:$G$140,"-")</f>
        <v>Base de Información de Eficiencia Energética - CEPAL- Enerdata, 2018 (https://biee-cepal.enerdata.net/es/datamapper/rate-of-electricity-t&amp;d-losses.html)</v>
      </c>
      <c r="K312" s="764" t="s">
        <v>102</v>
      </c>
      <c r="L312" s="768" t="s">
        <v>102</v>
      </c>
    </row>
    <row r="313" spans="2:12" ht="72">
      <c r="B313" s="764" t="s">
        <v>198</v>
      </c>
      <c r="C313" s="764" t="s">
        <v>44</v>
      </c>
      <c r="D313" s="764" t="s">
        <v>208</v>
      </c>
      <c r="E313" s="764" t="s">
        <v>204</v>
      </c>
      <c r="F313" s="775">
        <v>2024</v>
      </c>
      <c r="G313" s="764" t="s">
        <v>200</v>
      </c>
      <c r="H313" s="765" cm="1">
        <f t="array" ref="H313">_xlfn.XLOOKUP(E313&amp;F313&amp;G313,'2.2 Perdidas por T&amp;D'!$B$12:$B$140&amp;'2.2 Perdidas por T&amp;D'!$C$12:$C$140&amp;'2.2 Perdidas por T&amp;D'!$D$12:$D$140,'2.2 Perdidas por T&amp;D'!$E$12:$E$140,"-")</f>
        <v>11.5197</v>
      </c>
      <c r="I313" s="764" t="str" cm="1">
        <f t="array" ref="I313">_xlfn.XLOOKUP(E313&amp;F313&amp;G313,'2.2 Perdidas por T&amp;D'!$B$12:$B$140&amp;'2.2 Perdidas por T&amp;D'!$C$12:$C$140&amp;'2.2 Perdidas por T&amp;D'!$D$12:$D$140,'2.2 Perdidas por T&amp;D'!$F$12:$F$140,"-")</f>
        <v>kgCO2e/MWh</v>
      </c>
      <c r="J313" s="764" t="str" cm="1">
        <f t="array" ref="J313">_xlfn.XLOOKUP(E313&amp;F313&amp;G313,'2.2 Perdidas por T&amp;D'!$B$12:$B$140&amp;'2.2 Perdidas por T&amp;D'!$C$12:$C$140&amp;'2.2 Perdidas por T&amp;D'!$D$12:$D$140,'2.2 Perdidas por T&amp;D'!$G$12:$G$140,"-")</f>
        <v>Base de Información de Eficiencia Energética - CEPAL- Enerdata, 2018 (https://biee-cepal.enerdata.net/es/datamapper/rate-of-electricity-t&amp;d-losses.html)</v>
      </c>
      <c r="K313" s="764" t="s">
        <v>102</v>
      </c>
      <c r="L313" s="768" t="s">
        <v>102</v>
      </c>
    </row>
    <row r="314" spans="2:12" ht="72">
      <c r="B314" s="764" t="s">
        <v>198</v>
      </c>
      <c r="C314" s="764" t="s">
        <v>44</v>
      </c>
      <c r="D314" s="764" t="s">
        <v>208</v>
      </c>
      <c r="E314" s="764" t="s">
        <v>204</v>
      </c>
      <c r="F314" s="775">
        <v>2024</v>
      </c>
      <c r="G314" s="764" t="s">
        <v>201</v>
      </c>
      <c r="H314" s="765" cm="1">
        <f t="array" ref="H314">_xlfn.XLOOKUP(E314&amp;F314&amp;G314,'2.2 Perdidas por T&amp;D'!$B$12:$B$140&amp;'2.2 Perdidas por T&amp;D'!$C$12:$C$140&amp;'2.2 Perdidas por T&amp;D'!$D$12:$D$140,'2.2 Perdidas por T&amp;D'!$E$12:$E$140,"-")</f>
        <v>11519.7</v>
      </c>
      <c r="I314" s="764" t="str" cm="1">
        <f t="array" ref="I314">_xlfn.XLOOKUP(E314&amp;F314&amp;G314,'2.2 Perdidas por T&amp;D'!$B$12:$B$140&amp;'2.2 Perdidas por T&amp;D'!$C$12:$C$140&amp;'2.2 Perdidas por T&amp;D'!$D$12:$D$140,'2.2 Perdidas por T&amp;D'!$F$12:$F$140,"-")</f>
        <v>kgCO2e/GWh</v>
      </c>
      <c r="J314" s="764" t="str" cm="1">
        <f t="array" ref="J314">_xlfn.XLOOKUP(E314&amp;F314&amp;G314,'2.2 Perdidas por T&amp;D'!$B$12:$B$140&amp;'2.2 Perdidas por T&amp;D'!$C$12:$C$140&amp;'2.2 Perdidas por T&amp;D'!$D$12:$D$140,'2.2 Perdidas por T&amp;D'!$G$12:$G$140,"-")</f>
        <v>Base de Información de Eficiencia Energética - CEPAL- Enerdata, 2018 (https://biee-cepal.enerdata.net/es/datamapper/rate-of-electricity-t&amp;d-losses.html)</v>
      </c>
      <c r="K314" s="764" t="s">
        <v>102</v>
      </c>
      <c r="L314" s="768" t="s">
        <v>102</v>
      </c>
    </row>
    <row r="315" spans="2:12" ht="72">
      <c r="B315" s="764" t="s">
        <v>198</v>
      </c>
      <c r="C315" s="764" t="s">
        <v>44</v>
      </c>
      <c r="D315" s="764" t="s">
        <v>208</v>
      </c>
      <c r="E315" s="764" t="s">
        <v>204</v>
      </c>
      <c r="F315" s="775">
        <v>2024</v>
      </c>
      <c r="G315" s="764" t="s">
        <v>202</v>
      </c>
      <c r="H315" s="765" cm="1">
        <f t="array" ref="H315">_xlfn.XLOOKUP(E315&amp;F315&amp;G315,'2.2 Perdidas por T&amp;D'!$B$12:$B$140&amp;'2.2 Perdidas por T&amp;D'!$C$12:$C$140&amp;'2.2 Perdidas por T&amp;D'!$D$12:$D$140,'2.2 Perdidas por T&amp;D'!$E$12:$E$140,"-")</f>
        <v>1.1519700000000001E-2</v>
      </c>
      <c r="I315" s="764" t="str" cm="1">
        <f t="array" ref="I315">_xlfn.XLOOKUP(E315&amp;F315&amp;G315,'2.2 Perdidas por T&amp;D'!$B$12:$B$140&amp;'2.2 Perdidas por T&amp;D'!$C$12:$C$140&amp;'2.2 Perdidas por T&amp;D'!$D$12:$D$140,'2.2 Perdidas por T&amp;D'!$F$12:$F$140,"-")</f>
        <v>kgCO2e/kWh</v>
      </c>
      <c r="J315" s="764" t="str" cm="1">
        <f t="array" ref="J315">_xlfn.XLOOKUP(E315&amp;F315&amp;G315,'2.2 Perdidas por T&amp;D'!$B$12:$B$140&amp;'2.2 Perdidas por T&amp;D'!$C$12:$C$140&amp;'2.2 Perdidas por T&amp;D'!$D$12:$D$140,'2.2 Perdidas por T&amp;D'!$G$12:$G$140,"-")</f>
        <v>Base de Información de Eficiencia Energética - CEPAL- Enerdata, 2018 (https://biee-cepal.enerdata.net/es/datamapper/rate-of-electricity-t&amp;d-losses.html)</v>
      </c>
      <c r="K315" s="764" t="s">
        <v>102</v>
      </c>
      <c r="L315" s="768" t="s">
        <v>102</v>
      </c>
    </row>
    <row r="316" spans="2:12" ht="72">
      <c r="B316" s="764" t="s">
        <v>198</v>
      </c>
      <c r="C316" s="764" t="s">
        <v>44</v>
      </c>
      <c r="D316" s="764" t="s">
        <v>208</v>
      </c>
      <c r="E316" s="764" t="s">
        <v>205</v>
      </c>
      <c r="F316" s="775">
        <v>2015</v>
      </c>
      <c r="G316" s="764" t="s">
        <v>200</v>
      </c>
      <c r="H316" s="765" cm="1">
        <f t="array" ref="H316">_xlfn.XLOOKUP(E316&amp;F316&amp;G316,'2.2 Perdidas por T&amp;D'!$B$12:$B$140&amp;'2.2 Perdidas por T&amp;D'!$C$12:$C$140&amp;'2.2 Perdidas por T&amp;D'!$D$12:$D$140,'2.2 Perdidas por T&amp;D'!$E$12:$E$140,"-")</f>
        <v>17.133249809999999</v>
      </c>
      <c r="I316" s="764" t="str" cm="1">
        <f t="array" ref="I316">_xlfn.XLOOKUP(E316&amp;F316&amp;G316,'2.2 Perdidas por T&amp;D'!$B$12:$B$140&amp;'2.2 Perdidas por T&amp;D'!$C$12:$C$140&amp;'2.2 Perdidas por T&amp;D'!$D$12:$D$140,'2.2 Perdidas por T&amp;D'!$F$12:$F$140,"-")</f>
        <v>kgCO2e/MWh</v>
      </c>
      <c r="J316" s="764" t="str" cm="1">
        <f t="array" ref="J316">_xlfn.XLOOKUP(E316&amp;F316&amp;G316,'2.2 Perdidas por T&amp;D'!$B$12:$B$140&amp;'2.2 Perdidas por T&amp;D'!$C$12:$C$140&amp;'2.2 Perdidas por T&amp;D'!$D$12:$D$140,'2.2 Perdidas por T&amp;D'!$G$12:$G$140,"-")</f>
        <v>Base de Información de Eficiencia Energética - CEPAL- Enerdata, 2018 (https://biee-cepal.enerdata.net/es/datamapper/rate-of-electricity-t&amp;d-losses.html)</v>
      </c>
      <c r="K316" s="764" t="s">
        <v>102</v>
      </c>
      <c r="L316" s="768" t="s">
        <v>102</v>
      </c>
    </row>
    <row r="317" spans="2:12" ht="72">
      <c r="B317" s="764" t="s">
        <v>198</v>
      </c>
      <c r="C317" s="764" t="s">
        <v>44</v>
      </c>
      <c r="D317" s="764" t="s">
        <v>208</v>
      </c>
      <c r="E317" s="764" t="s">
        <v>205</v>
      </c>
      <c r="F317" s="775">
        <v>2015</v>
      </c>
      <c r="G317" s="764" t="s">
        <v>201</v>
      </c>
      <c r="H317" s="765" cm="1">
        <f t="array" ref="H317">_xlfn.XLOOKUP(E317&amp;F317&amp;G317,'2.2 Perdidas por T&amp;D'!$B$12:$B$140&amp;'2.2 Perdidas por T&amp;D'!$C$12:$C$140&amp;'2.2 Perdidas por T&amp;D'!$D$12:$D$140,'2.2 Perdidas por T&amp;D'!$E$12:$E$140,"-")</f>
        <v>17133.249810000001</v>
      </c>
      <c r="I317" s="764" t="str" cm="1">
        <f t="array" ref="I317">_xlfn.XLOOKUP(E317&amp;F317&amp;G317,'2.2 Perdidas por T&amp;D'!$B$12:$B$140&amp;'2.2 Perdidas por T&amp;D'!$C$12:$C$140&amp;'2.2 Perdidas por T&amp;D'!$D$12:$D$140,'2.2 Perdidas por T&amp;D'!$F$12:$F$140,"-")</f>
        <v>kgCO2e/GWh</v>
      </c>
      <c r="J317" s="764" t="str" cm="1">
        <f t="array" ref="J317">_xlfn.XLOOKUP(E317&amp;F317&amp;G317,'2.2 Perdidas por T&amp;D'!$B$12:$B$140&amp;'2.2 Perdidas por T&amp;D'!$C$12:$C$140&amp;'2.2 Perdidas por T&amp;D'!$D$12:$D$140,'2.2 Perdidas por T&amp;D'!$G$12:$G$140,"-")</f>
        <v>Base de Información de Eficiencia Energética - CEPAL- Enerdata, 2018 (https://biee-cepal.enerdata.net/es/datamapper/rate-of-electricity-t&amp;d-losses.html)</v>
      </c>
      <c r="K317" s="764" t="s">
        <v>102</v>
      </c>
      <c r="L317" s="768" t="s">
        <v>102</v>
      </c>
    </row>
    <row r="318" spans="2:12" ht="72">
      <c r="B318" s="764" t="s">
        <v>198</v>
      </c>
      <c r="C318" s="764" t="s">
        <v>44</v>
      </c>
      <c r="D318" s="764" t="s">
        <v>208</v>
      </c>
      <c r="E318" s="764" t="s">
        <v>205</v>
      </c>
      <c r="F318" s="775">
        <v>2015</v>
      </c>
      <c r="G318" s="764" t="s">
        <v>202</v>
      </c>
      <c r="H318" s="765" cm="1">
        <f t="array" ref="H318">_xlfn.XLOOKUP(E318&amp;F318&amp;G318,'2.2 Perdidas por T&amp;D'!$B$12:$B$140&amp;'2.2 Perdidas por T&amp;D'!$C$12:$C$140&amp;'2.2 Perdidas por T&amp;D'!$D$12:$D$140,'2.2 Perdidas por T&amp;D'!$E$12:$E$140,"-")</f>
        <v>1.7133249810000001E-2</v>
      </c>
      <c r="I318" s="764" t="str" cm="1">
        <f t="array" ref="I318">_xlfn.XLOOKUP(E318&amp;F318&amp;G318,'2.2 Perdidas por T&amp;D'!$B$12:$B$140&amp;'2.2 Perdidas por T&amp;D'!$C$12:$C$140&amp;'2.2 Perdidas por T&amp;D'!$D$12:$D$140,'2.2 Perdidas por T&amp;D'!$F$12:$F$140,"-")</f>
        <v>kgCO2e/kWh</v>
      </c>
      <c r="J318" s="764" t="str" cm="1">
        <f t="array" ref="J318">_xlfn.XLOOKUP(E318&amp;F318&amp;G318,'2.2 Perdidas por T&amp;D'!$B$12:$B$140&amp;'2.2 Perdidas por T&amp;D'!$C$12:$C$140&amp;'2.2 Perdidas por T&amp;D'!$D$12:$D$140,'2.2 Perdidas por T&amp;D'!$G$12:$G$140,"-")</f>
        <v>Base de Información de Eficiencia Energética - CEPAL- Enerdata, 2018 (https://biee-cepal.enerdata.net/es/datamapper/rate-of-electricity-t&amp;d-losses.html)</v>
      </c>
      <c r="K318" s="764" t="s">
        <v>102</v>
      </c>
      <c r="L318" s="768" t="s">
        <v>102</v>
      </c>
    </row>
    <row r="319" spans="2:12" ht="72">
      <c r="B319" s="764" t="s">
        <v>198</v>
      </c>
      <c r="C319" s="764" t="s">
        <v>44</v>
      </c>
      <c r="D319" s="764" t="s">
        <v>208</v>
      </c>
      <c r="E319" s="764" t="s">
        <v>205</v>
      </c>
      <c r="F319" s="775">
        <v>2016</v>
      </c>
      <c r="G319" s="764" t="s">
        <v>200</v>
      </c>
      <c r="H319" s="765" cm="1">
        <f t="array" ref="H319">_xlfn.XLOOKUP(E319&amp;F319&amp;G319,'2.2 Perdidas por T&amp;D'!$B$12:$B$140&amp;'2.2 Perdidas por T&amp;D'!$C$12:$C$140&amp;'2.2 Perdidas por T&amp;D'!$D$12:$D$140,'2.2 Perdidas por T&amp;D'!$E$12:$E$140,"-")</f>
        <v>22.95200019</v>
      </c>
      <c r="I319" s="764" t="str" cm="1">
        <f t="array" ref="I319">_xlfn.XLOOKUP(E319&amp;F319&amp;G319,'2.2 Perdidas por T&amp;D'!$B$12:$B$140&amp;'2.2 Perdidas por T&amp;D'!$C$12:$C$140&amp;'2.2 Perdidas por T&amp;D'!$D$12:$D$140,'2.2 Perdidas por T&amp;D'!$F$12:$F$140,"-")</f>
        <v>kgCO2e/MWh</v>
      </c>
      <c r="J319" s="764" t="str" cm="1">
        <f t="array" ref="J319">_xlfn.XLOOKUP(E319&amp;F319&amp;G319,'2.2 Perdidas por T&amp;D'!$B$12:$B$140&amp;'2.2 Perdidas por T&amp;D'!$C$12:$C$140&amp;'2.2 Perdidas por T&amp;D'!$D$12:$D$140,'2.2 Perdidas por T&amp;D'!$G$12:$G$140,"-")</f>
        <v>Base de Información de Eficiencia Energética - CEPAL- Enerdata, 2018 (https://biee-cepal.enerdata.net/es/datamapper/rate-of-electricity-t&amp;d-losses.html)</v>
      </c>
      <c r="K319" s="764" t="s">
        <v>102</v>
      </c>
      <c r="L319" s="768" t="s">
        <v>102</v>
      </c>
    </row>
    <row r="320" spans="2:12" ht="72">
      <c r="B320" s="764" t="s">
        <v>198</v>
      </c>
      <c r="C320" s="764" t="s">
        <v>44</v>
      </c>
      <c r="D320" s="764" t="s">
        <v>208</v>
      </c>
      <c r="E320" s="764" t="s">
        <v>205</v>
      </c>
      <c r="F320" s="775">
        <v>2016</v>
      </c>
      <c r="G320" s="764" t="s">
        <v>201</v>
      </c>
      <c r="H320" s="765" cm="1">
        <f t="array" ref="H320">_xlfn.XLOOKUP(E320&amp;F320&amp;G320,'2.2 Perdidas por T&amp;D'!$B$12:$B$140&amp;'2.2 Perdidas por T&amp;D'!$C$12:$C$140&amp;'2.2 Perdidas por T&amp;D'!$D$12:$D$140,'2.2 Perdidas por T&amp;D'!$E$12:$E$140,"-")</f>
        <v>22952.000189999999</v>
      </c>
      <c r="I320" s="764" t="str" cm="1">
        <f t="array" ref="I320">_xlfn.XLOOKUP(E320&amp;F320&amp;G320,'2.2 Perdidas por T&amp;D'!$B$12:$B$140&amp;'2.2 Perdidas por T&amp;D'!$C$12:$C$140&amp;'2.2 Perdidas por T&amp;D'!$D$12:$D$140,'2.2 Perdidas por T&amp;D'!$F$12:$F$140,"-")</f>
        <v>kgCO2e/GWh</v>
      </c>
      <c r="J320" s="764" t="str" cm="1">
        <f t="array" ref="J320">_xlfn.XLOOKUP(E320&amp;F320&amp;G320,'2.2 Perdidas por T&amp;D'!$B$12:$B$140&amp;'2.2 Perdidas por T&amp;D'!$C$12:$C$140&amp;'2.2 Perdidas por T&amp;D'!$D$12:$D$140,'2.2 Perdidas por T&amp;D'!$G$12:$G$140,"-")</f>
        <v>Base de Información de Eficiencia Energética - CEPAL- Enerdata, 2018 (https://biee-cepal.enerdata.net/es/datamapper/rate-of-electricity-t&amp;d-losses.html)</v>
      </c>
      <c r="K320" s="764" t="s">
        <v>102</v>
      </c>
      <c r="L320" s="768" t="s">
        <v>102</v>
      </c>
    </row>
    <row r="321" spans="2:12" ht="72">
      <c r="B321" s="764" t="s">
        <v>198</v>
      </c>
      <c r="C321" s="764" t="s">
        <v>44</v>
      </c>
      <c r="D321" s="764" t="s">
        <v>208</v>
      </c>
      <c r="E321" s="764" t="s">
        <v>205</v>
      </c>
      <c r="F321" s="775">
        <v>2016</v>
      </c>
      <c r="G321" s="764" t="s">
        <v>202</v>
      </c>
      <c r="H321" s="765" cm="1">
        <f t="array" ref="H321">_xlfn.XLOOKUP(E321&amp;F321&amp;G321,'2.2 Perdidas por T&amp;D'!$B$12:$B$140&amp;'2.2 Perdidas por T&amp;D'!$C$12:$C$140&amp;'2.2 Perdidas por T&amp;D'!$D$12:$D$140,'2.2 Perdidas por T&amp;D'!$E$12:$E$140,"-")</f>
        <v>2.2952000190000002E-2</v>
      </c>
      <c r="I321" s="764" t="str" cm="1">
        <f t="array" ref="I321">_xlfn.XLOOKUP(E321&amp;F321&amp;G321,'2.2 Perdidas por T&amp;D'!$B$12:$B$140&amp;'2.2 Perdidas por T&amp;D'!$C$12:$C$140&amp;'2.2 Perdidas por T&amp;D'!$D$12:$D$140,'2.2 Perdidas por T&amp;D'!$F$12:$F$140,"-")</f>
        <v>kgCO2e/kWh</v>
      </c>
      <c r="J321" s="764" t="str" cm="1">
        <f t="array" ref="J321">_xlfn.XLOOKUP(E321&amp;F321&amp;G321,'2.2 Perdidas por T&amp;D'!$B$12:$B$140&amp;'2.2 Perdidas por T&amp;D'!$C$12:$C$140&amp;'2.2 Perdidas por T&amp;D'!$D$12:$D$140,'2.2 Perdidas por T&amp;D'!$G$12:$G$140,"-")</f>
        <v>Base de Información de Eficiencia Energética - CEPAL- Enerdata, 2018 (https://biee-cepal.enerdata.net/es/datamapper/rate-of-electricity-t&amp;d-losses.html)</v>
      </c>
      <c r="K321" s="764" t="s">
        <v>102</v>
      </c>
      <c r="L321" s="768" t="s">
        <v>102</v>
      </c>
    </row>
    <row r="322" spans="2:12" ht="72">
      <c r="B322" s="764" t="s">
        <v>198</v>
      </c>
      <c r="C322" s="764" t="s">
        <v>44</v>
      </c>
      <c r="D322" s="764" t="s">
        <v>208</v>
      </c>
      <c r="E322" s="764" t="s">
        <v>205</v>
      </c>
      <c r="F322" s="775">
        <v>2017</v>
      </c>
      <c r="G322" s="764" t="s">
        <v>200</v>
      </c>
      <c r="H322" s="765" cm="1">
        <f t="array" ref="H322">_xlfn.XLOOKUP(E322&amp;F322&amp;G322,'2.2 Perdidas por T&amp;D'!$B$12:$B$140&amp;'2.2 Perdidas por T&amp;D'!$C$12:$C$140&amp;'2.2 Perdidas por T&amp;D'!$D$12:$D$140,'2.2 Perdidas por T&amp;D'!$E$12:$E$140,"-")</f>
        <v>11.058</v>
      </c>
      <c r="I322" s="764" t="str" cm="1">
        <f t="array" ref="I322">_xlfn.XLOOKUP(E322&amp;F322&amp;G322,'2.2 Perdidas por T&amp;D'!$B$12:$B$140&amp;'2.2 Perdidas por T&amp;D'!$C$12:$C$140&amp;'2.2 Perdidas por T&amp;D'!$D$12:$D$140,'2.2 Perdidas por T&amp;D'!$F$12:$F$140,"-")</f>
        <v>kgCO2e/MWh</v>
      </c>
      <c r="J322" s="764" t="str" cm="1">
        <f t="array" ref="J322">_xlfn.XLOOKUP(E322&amp;F322&amp;G322,'2.2 Perdidas por T&amp;D'!$B$12:$B$140&amp;'2.2 Perdidas por T&amp;D'!$C$12:$C$140&amp;'2.2 Perdidas por T&amp;D'!$D$12:$D$140,'2.2 Perdidas por T&amp;D'!$G$12:$G$140,"-")</f>
        <v>Base de Información de Eficiencia Energética - CEPAL- Enerdata, 2018 (https://biee-cepal.enerdata.net/es/datamapper/rate-of-electricity-t&amp;d-losses.html)</v>
      </c>
      <c r="K322" s="764" t="s">
        <v>102</v>
      </c>
      <c r="L322" s="768" t="s">
        <v>102</v>
      </c>
    </row>
    <row r="323" spans="2:12" ht="72">
      <c r="B323" s="764" t="s">
        <v>198</v>
      </c>
      <c r="C323" s="764" t="s">
        <v>44</v>
      </c>
      <c r="D323" s="764" t="s">
        <v>208</v>
      </c>
      <c r="E323" s="764" t="s">
        <v>205</v>
      </c>
      <c r="F323" s="775">
        <v>2017</v>
      </c>
      <c r="G323" s="764" t="s">
        <v>201</v>
      </c>
      <c r="H323" s="765" cm="1">
        <f t="array" ref="H323">_xlfn.XLOOKUP(E323&amp;F323&amp;G323,'2.2 Perdidas por T&amp;D'!$B$12:$B$140&amp;'2.2 Perdidas por T&amp;D'!$C$12:$C$140&amp;'2.2 Perdidas por T&amp;D'!$D$12:$D$140,'2.2 Perdidas por T&amp;D'!$E$12:$E$140,"-")</f>
        <v>11058</v>
      </c>
      <c r="I323" s="764" t="str" cm="1">
        <f t="array" ref="I323">_xlfn.XLOOKUP(E323&amp;F323&amp;G323,'2.2 Perdidas por T&amp;D'!$B$12:$B$140&amp;'2.2 Perdidas por T&amp;D'!$C$12:$C$140&amp;'2.2 Perdidas por T&amp;D'!$D$12:$D$140,'2.2 Perdidas por T&amp;D'!$F$12:$F$140,"-")</f>
        <v>kgCO2e/GWh</v>
      </c>
      <c r="J323" s="764" t="str" cm="1">
        <f t="array" ref="J323">_xlfn.XLOOKUP(E323&amp;F323&amp;G323,'2.2 Perdidas por T&amp;D'!$B$12:$B$140&amp;'2.2 Perdidas por T&amp;D'!$C$12:$C$140&amp;'2.2 Perdidas por T&amp;D'!$D$12:$D$140,'2.2 Perdidas por T&amp;D'!$G$12:$G$140,"-")</f>
        <v>Base de Información de Eficiencia Energética - CEPAL- Enerdata, 2018 (https://biee-cepal.enerdata.net/es/datamapper/rate-of-electricity-t&amp;d-losses.html)</v>
      </c>
      <c r="K323" s="764" t="s">
        <v>102</v>
      </c>
      <c r="L323" s="768" t="s">
        <v>102</v>
      </c>
    </row>
    <row r="324" spans="2:12" ht="72">
      <c r="B324" s="764" t="s">
        <v>198</v>
      </c>
      <c r="C324" s="764" t="s">
        <v>44</v>
      </c>
      <c r="D324" s="764" t="s">
        <v>208</v>
      </c>
      <c r="E324" s="764" t="s">
        <v>205</v>
      </c>
      <c r="F324" s="775">
        <v>2017</v>
      </c>
      <c r="G324" s="764" t="s">
        <v>202</v>
      </c>
      <c r="H324" s="765" cm="1">
        <f t="array" ref="H324">_xlfn.XLOOKUP(E324&amp;F324&amp;G324,'2.2 Perdidas por T&amp;D'!$B$12:$B$140&amp;'2.2 Perdidas por T&amp;D'!$C$12:$C$140&amp;'2.2 Perdidas por T&amp;D'!$D$12:$D$140,'2.2 Perdidas por T&amp;D'!$E$12:$E$140,"-")</f>
        <v>1.1058E-2</v>
      </c>
      <c r="I324" s="764" t="str" cm="1">
        <f t="array" ref="I324">_xlfn.XLOOKUP(E324&amp;F324&amp;G324,'2.2 Perdidas por T&amp;D'!$B$12:$B$140&amp;'2.2 Perdidas por T&amp;D'!$C$12:$C$140&amp;'2.2 Perdidas por T&amp;D'!$D$12:$D$140,'2.2 Perdidas por T&amp;D'!$F$12:$F$140,"-")</f>
        <v>kgCO2e/kWh</v>
      </c>
      <c r="J324" s="764" t="str" cm="1">
        <f t="array" ref="J324">_xlfn.XLOOKUP(E324&amp;F324&amp;G324,'2.2 Perdidas por T&amp;D'!$B$12:$B$140&amp;'2.2 Perdidas por T&amp;D'!$C$12:$C$140&amp;'2.2 Perdidas por T&amp;D'!$D$12:$D$140,'2.2 Perdidas por T&amp;D'!$G$12:$G$140,"-")</f>
        <v>Base de Información de Eficiencia Energética - CEPAL- Enerdata, 2018 (https://biee-cepal.enerdata.net/es/datamapper/rate-of-electricity-t&amp;d-losses.html)</v>
      </c>
      <c r="K324" s="764" t="s">
        <v>102</v>
      </c>
      <c r="L324" s="768" t="s">
        <v>102</v>
      </c>
    </row>
    <row r="325" spans="2:12" ht="72">
      <c r="B325" s="764" t="s">
        <v>198</v>
      </c>
      <c r="C325" s="764" t="s">
        <v>44</v>
      </c>
      <c r="D325" s="764" t="s">
        <v>208</v>
      </c>
      <c r="E325" s="764" t="s">
        <v>205</v>
      </c>
      <c r="F325" s="775">
        <v>2018</v>
      </c>
      <c r="G325" s="764" t="s">
        <v>200</v>
      </c>
      <c r="H325" s="765" cm="1">
        <f t="array" ref="H325">_xlfn.XLOOKUP(E325&amp;F325&amp;G325,'2.2 Perdidas por T&amp;D'!$B$12:$B$140&amp;'2.2 Perdidas por T&amp;D'!$C$12:$C$140&amp;'2.2 Perdidas por T&amp;D'!$D$12:$D$140,'2.2 Perdidas por T&amp;D'!$E$12:$E$140,"-")</f>
        <v>13.062500000190001</v>
      </c>
      <c r="I325" s="764" t="str" cm="1">
        <f t="array" ref="I325">_xlfn.XLOOKUP(E325&amp;F325&amp;G325,'2.2 Perdidas por T&amp;D'!$B$12:$B$140&amp;'2.2 Perdidas por T&amp;D'!$C$12:$C$140&amp;'2.2 Perdidas por T&amp;D'!$D$12:$D$140,'2.2 Perdidas por T&amp;D'!$F$12:$F$140,"-")</f>
        <v>kgCO2e/MWh</v>
      </c>
      <c r="J325" s="764" t="str" cm="1">
        <f t="array" ref="J325">_xlfn.XLOOKUP(E325&amp;F325&amp;G325,'2.2 Perdidas por T&amp;D'!$B$12:$B$140&amp;'2.2 Perdidas por T&amp;D'!$C$12:$C$140&amp;'2.2 Perdidas por T&amp;D'!$D$12:$D$140,'2.2 Perdidas por T&amp;D'!$G$12:$G$140,"-")</f>
        <v>Base de Información de Eficiencia Energética - CEPAL- Enerdata, 2018 (https://biee-cepal.enerdata.net/es/datamapper/rate-of-electricity-t&amp;d-losses.html)</v>
      </c>
      <c r="K325" s="764" t="s">
        <v>102</v>
      </c>
      <c r="L325" s="768" t="s">
        <v>102</v>
      </c>
    </row>
    <row r="326" spans="2:12" ht="72">
      <c r="B326" s="764" t="s">
        <v>198</v>
      </c>
      <c r="C326" s="764" t="s">
        <v>44</v>
      </c>
      <c r="D326" s="764" t="s">
        <v>208</v>
      </c>
      <c r="E326" s="764" t="s">
        <v>205</v>
      </c>
      <c r="F326" s="775">
        <v>2018</v>
      </c>
      <c r="G326" s="764" t="s">
        <v>201</v>
      </c>
      <c r="H326" s="765" cm="1">
        <f t="array" ref="H326">_xlfn.XLOOKUP(E326&amp;F326&amp;G326,'2.2 Perdidas por T&amp;D'!$B$12:$B$140&amp;'2.2 Perdidas por T&amp;D'!$C$12:$C$140&amp;'2.2 Perdidas por T&amp;D'!$D$12:$D$140,'2.2 Perdidas por T&amp;D'!$E$12:$E$140,"-")</f>
        <v>13062.500000190001</v>
      </c>
      <c r="I326" s="764" t="str" cm="1">
        <f t="array" ref="I326">_xlfn.XLOOKUP(E326&amp;F326&amp;G326,'2.2 Perdidas por T&amp;D'!$B$12:$B$140&amp;'2.2 Perdidas por T&amp;D'!$C$12:$C$140&amp;'2.2 Perdidas por T&amp;D'!$D$12:$D$140,'2.2 Perdidas por T&amp;D'!$F$12:$F$140,"-")</f>
        <v>kgCO2e/GWh</v>
      </c>
      <c r="J326" s="764" t="str" cm="1">
        <f t="array" ref="J326">_xlfn.XLOOKUP(E326&amp;F326&amp;G326,'2.2 Perdidas por T&amp;D'!$B$12:$B$140&amp;'2.2 Perdidas por T&amp;D'!$C$12:$C$140&amp;'2.2 Perdidas por T&amp;D'!$D$12:$D$140,'2.2 Perdidas por T&amp;D'!$G$12:$G$140,"-")</f>
        <v>Base de Información de Eficiencia Energética - CEPAL- Enerdata, 2018 (https://biee-cepal.enerdata.net/es/datamapper/rate-of-electricity-t&amp;d-losses.html)</v>
      </c>
      <c r="K326" s="764" t="s">
        <v>102</v>
      </c>
      <c r="L326" s="768" t="s">
        <v>102</v>
      </c>
    </row>
    <row r="327" spans="2:12" ht="72">
      <c r="B327" s="764" t="s">
        <v>198</v>
      </c>
      <c r="C327" s="764" t="s">
        <v>44</v>
      </c>
      <c r="D327" s="764" t="s">
        <v>208</v>
      </c>
      <c r="E327" s="764" t="s">
        <v>205</v>
      </c>
      <c r="F327" s="775">
        <v>2018</v>
      </c>
      <c r="G327" s="764" t="s">
        <v>202</v>
      </c>
      <c r="H327" s="765" cm="1">
        <f t="array" ref="H327">_xlfn.XLOOKUP(E327&amp;F327&amp;G327,'2.2 Perdidas por T&amp;D'!$B$12:$B$140&amp;'2.2 Perdidas por T&amp;D'!$C$12:$C$140&amp;'2.2 Perdidas por T&amp;D'!$D$12:$D$140,'2.2 Perdidas por T&amp;D'!$E$12:$E$140,"-")</f>
        <v>1.3062500000190002E-2</v>
      </c>
      <c r="I327" s="764" t="str" cm="1">
        <f t="array" ref="I327">_xlfn.XLOOKUP(E327&amp;F327&amp;G327,'2.2 Perdidas por T&amp;D'!$B$12:$B$140&amp;'2.2 Perdidas por T&amp;D'!$C$12:$C$140&amp;'2.2 Perdidas por T&amp;D'!$D$12:$D$140,'2.2 Perdidas por T&amp;D'!$F$12:$F$140,"-")</f>
        <v>kgCO2e/kWh</v>
      </c>
      <c r="J327" s="764" t="str" cm="1">
        <f t="array" ref="J327">_xlfn.XLOOKUP(E327&amp;F327&amp;G327,'2.2 Perdidas por T&amp;D'!$B$12:$B$140&amp;'2.2 Perdidas por T&amp;D'!$C$12:$C$140&amp;'2.2 Perdidas por T&amp;D'!$D$12:$D$140,'2.2 Perdidas por T&amp;D'!$G$12:$G$140,"-")</f>
        <v>Base de Información de Eficiencia Energética - CEPAL- Enerdata, 2018 (https://biee-cepal.enerdata.net/es/datamapper/rate-of-electricity-t&amp;d-losses.html)</v>
      </c>
      <c r="K327" s="764" t="s">
        <v>102</v>
      </c>
      <c r="L327" s="768" t="s">
        <v>102</v>
      </c>
    </row>
    <row r="328" spans="2:12" ht="72">
      <c r="B328" s="764" t="s">
        <v>198</v>
      </c>
      <c r="C328" s="764" t="s">
        <v>44</v>
      </c>
      <c r="D328" s="764" t="s">
        <v>208</v>
      </c>
      <c r="E328" s="764" t="s">
        <v>205</v>
      </c>
      <c r="F328" s="775">
        <v>2019</v>
      </c>
      <c r="G328" s="764" t="s">
        <v>200</v>
      </c>
      <c r="H328" s="765" cm="1">
        <f t="array" ref="H328">_xlfn.XLOOKUP(E328&amp;F328&amp;G328,'2.2 Perdidas por T&amp;D'!$B$12:$B$140&amp;'2.2 Perdidas por T&amp;D'!$C$12:$C$140&amp;'2.2 Perdidas por T&amp;D'!$D$12:$D$140,'2.2 Perdidas por T&amp;D'!$E$12:$E$140,"-")</f>
        <v>17.736500000189999</v>
      </c>
      <c r="I328" s="764" t="str" cm="1">
        <f t="array" ref="I328">_xlfn.XLOOKUP(E328&amp;F328&amp;G328,'2.2 Perdidas por T&amp;D'!$B$12:$B$140&amp;'2.2 Perdidas por T&amp;D'!$C$12:$C$140&amp;'2.2 Perdidas por T&amp;D'!$D$12:$D$140,'2.2 Perdidas por T&amp;D'!$F$12:$F$140,"-")</f>
        <v>kgCO2e/MWh</v>
      </c>
      <c r="J328" s="764" t="str" cm="1">
        <f t="array" ref="J328">_xlfn.XLOOKUP(E328&amp;F328&amp;G328,'2.2 Perdidas por T&amp;D'!$B$12:$B$140&amp;'2.2 Perdidas por T&amp;D'!$C$12:$C$140&amp;'2.2 Perdidas por T&amp;D'!$D$12:$D$140,'2.2 Perdidas por T&amp;D'!$G$12:$G$140,"-")</f>
        <v>Base de Información de Eficiencia Energética - CEPAL- Enerdata, 2018 (https://biee-cepal.enerdata.net/es/datamapper/rate-of-electricity-t&amp;d-losses.html)</v>
      </c>
      <c r="K328" s="764" t="s">
        <v>102</v>
      </c>
      <c r="L328" s="768" t="s">
        <v>102</v>
      </c>
    </row>
    <row r="329" spans="2:12" ht="72">
      <c r="B329" s="764" t="s">
        <v>198</v>
      </c>
      <c r="C329" s="764" t="s">
        <v>44</v>
      </c>
      <c r="D329" s="764" t="s">
        <v>208</v>
      </c>
      <c r="E329" s="764" t="s">
        <v>205</v>
      </c>
      <c r="F329" s="775">
        <v>2019</v>
      </c>
      <c r="G329" s="764" t="s">
        <v>201</v>
      </c>
      <c r="H329" s="765" cm="1">
        <f t="array" ref="H329">_xlfn.XLOOKUP(E329&amp;F329&amp;G329,'2.2 Perdidas por T&amp;D'!$B$12:$B$140&amp;'2.2 Perdidas por T&amp;D'!$C$12:$C$140&amp;'2.2 Perdidas por T&amp;D'!$D$12:$D$140,'2.2 Perdidas por T&amp;D'!$E$12:$E$140,"-")</f>
        <v>17736.500000190001</v>
      </c>
      <c r="I329" s="764" t="str" cm="1">
        <f t="array" ref="I329">_xlfn.XLOOKUP(E329&amp;F329&amp;G329,'2.2 Perdidas por T&amp;D'!$B$12:$B$140&amp;'2.2 Perdidas por T&amp;D'!$C$12:$C$140&amp;'2.2 Perdidas por T&amp;D'!$D$12:$D$140,'2.2 Perdidas por T&amp;D'!$F$12:$F$140,"-")</f>
        <v>kgCO2e/GWh</v>
      </c>
      <c r="J329" s="764" t="str" cm="1">
        <f t="array" ref="J329">_xlfn.XLOOKUP(E329&amp;F329&amp;G329,'2.2 Perdidas por T&amp;D'!$B$12:$B$140&amp;'2.2 Perdidas por T&amp;D'!$C$12:$C$140&amp;'2.2 Perdidas por T&amp;D'!$D$12:$D$140,'2.2 Perdidas por T&amp;D'!$G$12:$G$140,"-")</f>
        <v>Base de Información de Eficiencia Energética - CEPAL- Enerdata, 2018 (https://biee-cepal.enerdata.net/es/datamapper/rate-of-electricity-t&amp;d-losses.html)</v>
      </c>
      <c r="K329" s="764" t="s">
        <v>102</v>
      </c>
      <c r="L329" s="768" t="s">
        <v>102</v>
      </c>
    </row>
    <row r="330" spans="2:12" ht="72">
      <c r="B330" s="764" t="s">
        <v>198</v>
      </c>
      <c r="C330" s="764" t="s">
        <v>44</v>
      </c>
      <c r="D330" s="764" t="s">
        <v>208</v>
      </c>
      <c r="E330" s="764" t="s">
        <v>205</v>
      </c>
      <c r="F330" s="775">
        <v>2019</v>
      </c>
      <c r="G330" s="764" t="s">
        <v>202</v>
      </c>
      <c r="H330" s="765" cm="1">
        <f t="array" ref="H330">_xlfn.XLOOKUP(E330&amp;F330&amp;G330,'2.2 Perdidas por T&amp;D'!$B$12:$B$140&amp;'2.2 Perdidas por T&amp;D'!$C$12:$C$140&amp;'2.2 Perdidas por T&amp;D'!$D$12:$D$140,'2.2 Perdidas por T&amp;D'!$E$12:$E$140,"-")</f>
        <v>1.773650000019E-2</v>
      </c>
      <c r="I330" s="764" t="str" cm="1">
        <f t="array" ref="I330">_xlfn.XLOOKUP(E330&amp;F330&amp;G330,'2.2 Perdidas por T&amp;D'!$B$12:$B$140&amp;'2.2 Perdidas por T&amp;D'!$C$12:$C$140&amp;'2.2 Perdidas por T&amp;D'!$D$12:$D$140,'2.2 Perdidas por T&amp;D'!$F$12:$F$140,"-")</f>
        <v>kgCO2e/kWh</v>
      </c>
      <c r="J330" s="764" t="str" cm="1">
        <f t="array" ref="J330">_xlfn.XLOOKUP(E330&amp;F330&amp;G330,'2.2 Perdidas por T&amp;D'!$B$12:$B$140&amp;'2.2 Perdidas por T&amp;D'!$C$12:$C$140&amp;'2.2 Perdidas por T&amp;D'!$D$12:$D$140,'2.2 Perdidas por T&amp;D'!$G$12:$G$140,"-")</f>
        <v>Base de Información de Eficiencia Energética - CEPAL- Enerdata, 2018 (https://biee-cepal.enerdata.net/es/datamapper/rate-of-electricity-t&amp;d-losses.html)</v>
      </c>
      <c r="K330" s="764" t="s">
        <v>102</v>
      </c>
      <c r="L330" s="768" t="s">
        <v>102</v>
      </c>
    </row>
    <row r="331" spans="2:12" ht="72">
      <c r="B331" s="764" t="s">
        <v>198</v>
      </c>
      <c r="C331" s="764" t="s">
        <v>44</v>
      </c>
      <c r="D331" s="764" t="s">
        <v>208</v>
      </c>
      <c r="E331" s="764" t="s">
        <v>205</v>
      </c>
      <c r="F331" s="775">
        <v>2020</v>
      </c>
      <c r="G331" s="764" t="s">
        <v>200</v>
      </c>
      <c r="H331" s="765" cm="1">
        <f t="array" ref="H331">_xlfn.XLOOKUP(E331&amp;F331&amp;G331,'2.2 Perdidas por T&amp;D'!$B$12:$B$140&amp;'2.2 Perdidas por T&amp;D'!$C$12:$C$140&amp;'2.2 Perdidas por T&amp;D'!$D$12:$D$140,'2.2 Perdidas por T&amp;D'!$E$12:$E$140,"-")</f>
        <v>17.560749999810003</v>
      </c>
      <c r="I331" s="764" t="str" cm="1">
        <f t="array" ref="I331">_xlfn.XLOOKUP(E331&amp;F331&amp;G331,'2.2 Perdidas por T&amp;D'!$B$12:$B$140&amp;'2.2 Perdidas por T&amp;D'!$C$12:$C$140&amp;'2.2 Perdidas por T&amp;D'!$D$12:$D$140,'2.2 Perdidas por T&amp;D'!$F$12:$F$140,"-")</f>
        <v>kgCO2e/MWh</v>
      </c>
      <c r="J331" s="764" t="str" cm="1">
        <f t="array" ref="J331">_xlfn.XLOOKUP(E331&amp;F331&amp;G331,'2.2 Perdidas por T&amp;D'!$B$12:$B$140&amp;'2.2 Perdidas por T&amp;D'!$C$12:$C$140&amp;'2.2 Perdidas por T&amp;D'!$D$12:$D$140,'2.2 Perdidas por T&amp;D'!$G$12:$G$140,"-")</f>
        <v>Base de Información de Eficiencia Energética - CEPAL- Enerdata, 2018 (https://biee-cepal.enerdata.net/es/datamapper/rate-of-electricity-t&amp;d-losses.html)</v>
      </c>
      <c r="K331" s="764" t="s">
        <v>102</v>
      </c>
      <c r="L331" s="768" t="s">
        <v>102</v>
      </c>
    </row>
    <row r="332" spans="2:12" ht="72">
      <c r="B332" s="764" t="s">
        <v>198</v>
      </c>
      <c r="C332" s="764" t="s">
        <v>44</v>
      </c>
      <c r="D332" s="764" t="s">
        <v>208</v>
      </c>
      <c r="E332" s="764" t="s">
        <v>205</v>
      </c>
      <c r="F332" s="775">
        <v>2020</v>
      </c>
      <c r="G332" s="764" t="s">
        <v>201</v>
      </c>
      <c r="H332" s="765" cm="1">
        <f t="array" ref="H332">_xlfn.XLOOKUP(E332&amp;F332&amp;G332,'2.2 Perdidas por T&amp;D'!$B$12:$B$140&amp;'2.2 Perdidas por T&amp;D'!$C$12:$C$140&amp;'2.2 Perdidas por T&amp;D'!$D$12:$D$140,'2.2 Perdidas por T&amp;D'!$E$12:$E$140,"-")</f>
        <v>17560.749999809999</v>
      </c>
      <c r="I332" s="764" t="str" cm="1">
        <f t="array" ref="I332">_xlfn.XLOOKUP(E332&amp;F332&amp;G332,'2.2 Perdidas por T&amp;D'!$B$12:$B$140&amp;'2.2 Perdidas por T&amp;D'!$C$12:$C$140&amp;'2.2 Perdidas por T&amp;D'!$D$12:$D$140,'2.2 Perdidas por T&amp;D'!$F$12:$F$140,"-")</f>
        <v>kgCO2e/GWh</v>
      </c>
      <c r="J332" s="764" t="str" cm="1">
        <f t="array" ref="J332">_xlfn.XLOOKUP(E332&amp;F332&amp;G332,'2.2 Perdidas por T&amp;D'!$B$12:$B$140&amp;'2.2 Perdidas por T&amp;D'!$C$12:$C$140&amp;'2.2 Perdidas por T&amp;D'!$D$12:$D$140,'2.2 Perdidas por T&amp;D'!$G$12:$G$140,"-")</f>
        <v>Base de Información de Eficiencia Energética - CEPAL- Enerdata, 2018 (https://biee-cepal.enerdata.net/es/datamapper/rate-of-electricity-t&amp;d-losses.html)</v>
      </c>
      <c r="K332" s="764" t="s">
        <v>102</v>
      </c>
      <c r="L332" s="768" t="s">
        <v>102</v>
      </c>
    </row>
    <row r="333" spans="2:12" ht="72">
      <c r="B333" s="764" t="s">
        <v>198</v>
      </c>
      <c r="C333" s="764" t="s">
        <v>44</v>
      </c>
      <c r="D333" s="764" t="s">
        <v>208</v>
      </c>
      <c r="E333" s="764" t="s">
        <v>205</v>
      </c>
      <c r="F333" s="775">
        <v>2020</v>
      </c>
      <c r="G333" s="764" t="s">
        <v>202</v>
      </c>
      <c r="H333" s="765" cm="1">
        <f t="array" ref="H333">_xlfn.XLOOKUP(E333&amp;F333&amp;G333,'2.2 Perdidas por T&amp;D'!$B$12:$B$140&amp;'2.2 Perdidas por T&amp;D'!$C$12:$C$140&amp;'2.2 Perdidas por T&amp;D'!$D$12:$D$140,'2.2 Perdidas por T&amp;D'!$E$12:$E$140,"-")</f>
        <v>1.7560749999810003E-2</v>
      </c>
      <c r="I333" s="764" t="str" cm="1">
        <f t="array" ref="I333">_xlfn.XLOOKUP(E333&amp;F333&amp;G333,'2.2 Perdidas por T&amp;D'!$B$12:$B$140&amp;'2.2 Perdidas por T&amp;D'!$C$12:$C$140&amp;'2.2 Perdidas por T&amp;D'!$D$12:$D$140,'2.2 Perdidas por T&amp;D'!$F$12:$F$140,"-")</f>
        <v>kgCO2e/kWh</v>
      </c>
      <c r="J333" s="764" t="str" cm="1">
        <f t="array" ref="J333">_xlfn.XLOOKUP(E333&amp;F333&amp;G333,'2.2 Perdidas por T&amp;D'!$B$12:$B$140&amp;'2.2 Perdidas por T&amp;D'!$C$12:$C$140&amp;'2.2 Perdidas por T&amp;D'!$D$12:$D$140,'2.2 Perdidas por T&amp;D'!$G$12:$G$140,"-")</f>
        <v>Base de Información de Eficiencia Energética - CEPAL- Enerdata, 2018 (https://biee-cepal.enerdata.net/es/datamapper/rate-of-electricity-t&amp;d-losses.html)</v>
      </c>
      <c r="K333" s="764" t="s">
        <v>102</v>
      </c>
      <c r="L333" s="768" t="s">
        <v>102</v>
      </c>
    </row>
    <row r="334" spans="2:12" ht="72">
      <c r="B334" s="764" t="s">
        <v>198</v>
      </c>
      <c r="C334" s="764" t="s">
        <v>44</v>
      </c>
      <c r="D334" s="764" t="s">
        <v>208</v>
      </c>
      <c r="E334" s="764" t="s">
        <v>205</v>
      </c>
      <c r="F334" s="775">
        <v>2021</v>
      </c>
      <c r="G334" s="764" t="s">
        <v>200</v>
      </c>
      <c r="H334" s="765" cm="1">
        <f t="array" ref="H334">_xlfn.XLOOKUP(E334&amp;F334&amp;G334,'2.2 Perdidas por T&amp;D'!$B$12:$B$140&amp;'2.2 Perdidas por T&amp;D'!$C$12:$C$140&amp;'2.2 Perdidas por T&amp;D'!$D$12:$D$140,'2.2 Perdidas por T&amp;D'!$E$12:$E$140,"-")</f>
        <v>21.218250000000001</v>
      </c>
      <c r="I334" s="764" t="str" cm="1">
        <f t="array" ref="I334">_xlfn.XLOOKUP(E334&amp;F334&amp;G334,'2.2 Perdidas por T&amp;D'!$B$12:$B$140&amp;'2.2 Perdidas por T&amp;D'!$C$12:$C$140&amp;'2.2 Perdidas por T&amp;D'!$D$12:$D$140,'2.2 Perdidas por T&amp;D'!$F$12:$F$140,"-")</f>
        <v>kgCO2e/MWh</v>
      </c>
      <c r="J334" s="764" t="str" cm="1">
        <f t="array" ref="J334">_xlfn.XLOOKUP(E334&amp;F334&amp;G334,'2.2 Perdidas por T&amp;D'!$B$12:$B$140&amp;'2.2 Perdidas por T&amp;D'!$C$12:$C$140&amp;'2.2 Perdidas por T&amp;D'!$D$12:$D$140,'2.2 Perdidas por T&amp;D'!$G$12:$G$140,"-")</f>
        <v>Base de Información de Eficiencia Energética - CEPAL- Enerdata, 2018 (https://biee-cepal.enerdata.net/es/datamapper/rate-of-electricity-t&amp;d-losses.html)</v>
      </c>
      <c r="K334" s="764" t="s">
        <v>102</v>
      </c>
      <c r="L334" s="768" t="s">
        <v>102</v>
      </c>
    </row>
    <row r="335" spans="2:12" ht="72">
      <c r="B335" s="764" t="s">
        <v>198</v>
      </c>
      <c r="C335" s="764" t="s">
        <v>44</v>
      </c>
      <c r="D335" s="764" t="s">
        <v>208</v>
      </c>
      <c r="E335" s="764" t="s">
        <v>205</v>
      </c>
      <c r="F335" s="775">
        <v>2021</v>
      </c>
      <c r="G335" s="764" t="s">
        <v>201</v>
      </c>
      <c r="H335" s="765" cm="1">
        <f t="array" ref="H335">_xlfn.XLOOKUP(E335&amp;F335&amp;G335,'2.2 Perdidas por T&amp;D'!$B$12:$B$140&amp;'2.2 Perdidas por T&amp;D'!$C$12:$C$140&amp;'2.2 Perdidas por T&amp;D'!$D$12:$D$140,'2.2 Perdidas por T&amp;D'!$E$12:$E$140,"-")</f>
        <v>21218.25</v>
      </c>
      <c r="I335" s="764" t="str" cm="1">
        <f t="array" ref="I335">_xlfn.XLOOKUP(E335&amp;F335&amp;G335,'2.2 Perdidas por T&amp;D'!$B$12:$B$140&amp;'2.2 Perdidas por T&amp;D'!$C$12:$C$140&amp;'2.2 Perdidas por T&amp;D'!$D$12:$D$140,'2.2 Perdidas por T&amp;D'!$F$12:$F$140,"-")</f>
        <v>kgCO2e/GWh</v>
      </c>
      <c r="J335" s="764" t="str" cm="1">
        <f t="array" ref="J335">_xlfn.XLOOKUP(E335&amp;F335&amp;G335,'2.2 Perdidas por T&amp;D'!$B$12:$B$140&amp;'2.2 Perdidas por T&amp;D'!$C$12:$C$140&amp;'2.2 Perdidas por T&amp;D'!$D$12:$D$140,'2.2 Perdidas por T&amp;D'!$G$12:$G$140,"-")</f>
        <v>Base de Información de Eficiencia Energética - CEPAL- Enerdata, 2018 (https://biee-cepal.enerdata.net/es/datamapper/rate-of-electricity-t&amp;d-losses.html)</v>
      </c>
      <c r="K335" s="764" t="s">
        <v>102</v>
      </c>
      <c r="L335" s="768" t="s">
        <v>102</v>
      </c>
    </row>
    <row r="336" spans="2:12" ht="72">
      <c r="B336" s="764" t="s">
        <v>198</v>
      </c>
      <c r="C336" s="764" t="s">
        <v>44</v>
      </c>
      <c r="D336" s="764" t="s">
        <v>208</v>
      </c>
      <c r="E336" s="764" t="s">
        <v>205</v>
      </c>
      <c r="F336" s="775">
        <v>2021</v>
      </c>
      <c r="G336" s="764" t="s">
        <v>202</v>
      </c>
      <c r="H336" s="765" cm="1">
        <f t="array" ref="H336">_xlfn.XLOOKUP(E336&amp;F336&amp;G336,'2.2 Perdidas por T&amp;D'!$B$12:$B$140&amp;'2.2 Perdidas por T&amp;D'!$C$12:$C$140&amp;'2.2 Perdidas por T&amp;D'!$D$12:$D$140,'2.2 Perdidas por T&amp;D'!$E$12:$E$140,"-")</f>
        <v>2.1218250000000001E-2</v>
      </c>
      <c r="I336" s="764" t="str" cm="1">
        <f t="array" ref="I336">_xlfn.XLOOKUP(E336&amp;F336&amp;G336,'2.2 Perdidas por T&amp;D'!$B$12:$B$140&amp;'2.2 Perdidas por T&amp;D'!$C$12:$C$140&amp;'2.2 Perdidas por T&amp;D'!$D$12:$D$140,'2.2 Perdidas por T&amp;D'!$F$12:$F$140,"-")</f>
        <v>kgCO2e/kWh</v>
      </c>
      <c r="J336" s="764" t="str" cm="1">
        <f t="array" ref="J336">_xlfn.XLOOKUP(E336&amp;F336&amp;G336,'2.2 Perdidas por T&amp;D'!$B$12:$B$140&amp;'2.2 Perdidas por T&amp;D'!$C$12:$C$140&amp;'2.2 Perdidas por T&amp;D'!$D$12:$D$140,'2.2 Perdidas por T&amp;D'!$G$12:$G$140,"-")</f>
        <v>Base de Información de Eficiencia Energética - CEPAL- Enerdata, 2018 (https://biee-cepal.enerdata.net/es/datamapper/rate-of-electricity-t&amp;d-losses.html)</v>
      </c>
      <c r="K336" s="764" t="s">
        <v>102</v>
      </c>
      <c r="L336" s="768" t="s">
        <v>102</v>
      </c>
    </row>
    <row r="337" spans="2:12" ht="72">
      <c r="B337" s="764" t="s">
        <v>198</v>
      </c>
      <c r="C337" s="764" t="s">
        <v>44</v>
      </c>
      <c r="D337" s="764" t="s">
        <v>208</v>
      </c>
      <c r="E337" s="764" t="s">
        <v>205</v>
      </c>
      <c r="F337" s="775">
        <v>2022</v>
      </c>
      <c r="G337" s="764" t="s">
        <v>200</v>
      </c>
      <c r="H337" s="765" cm="1">
        <f t="array" ref="H337">_xlfn.XLOOKUP(E337&amp;F337&amp;G337,'2.2 Perdidas por T&amp;D'!$B$12:$B$140&amp;'2.2 Perdidas por T&amp;D'!$C$12:$C$140&amp;'2.2 Perdidas por T&amp;D'!$D$12:$D$140,'2.2 Perdidas por T&amp;D'!$E$12:$E$140,"-")</f>
        <v>22.0305</v>
      </c>
      <c r="I337" s="764" t="str" cm="1">
        <f t="array" ref="I337">_xlfn.XLOOKUP(E337&amp;F337&amp;G337,'2.2 Perdidas por T&amp;D'!$B$12:$B$140&amp;'2.2 Perdidas por T&amp;D'!$C$12:$C$140&amp;'2.2 Perdidas por T&amp;D'!$D$12:$D$140,'2.2 Perdidas por T&amp;D'!$F$12:$F$140,"-")</f>
        <v>kgCO2e/MWh</v>
      </c>
      <c r="J337" s="764" t="str" cm="1">
        <f t="array" ref="J337">_xlfn.XLOOKUP(E337&amp;F337&amp;G337,'2.2 Perdidas por T&amp;D'!$B$12:$B$140&amp;'2.2 Perdidas por T&amp;D'!$C$12:$C$140&amp;'2.2 Perdidas por T&amp;D'!$D$12:$D$140,'2.2 Perdidas por T&amp;D'!$G$12:$G$140,"-")</f>
        <v>Base de Información de Eficiencia Energética - CEPAL- Enerdata, 2018 (https://biee-cepal.enerdata.net/es/datamapper/rate-of-electricity-t&amp;d-losses.html)</v>
      </c>
      <c r="K337" s="764" t="s">
        <v>102</v>
      </c>
      <c r="L337" s="768" t="s">
        <v>102</v>
      </c>
    </row>
    <row r="338" spans="2:12" ht="72">
      <c r="B338" s="764" t="s">
        <v>198</v>
      </c>
      <c r="C338" s="764" t="s">
        <v>44</v>
      </c>
      <c r="D338" s="764" t="s">
        <v>208</v>
      </c>
      <c r="E338" s="764" t="s">
        <v>205</v>
      </c>
      <c r="F338" s="775">
        <v>2022</v>
      </c>
      <c r="G338" s="764" t="s">
        <v>201</v>
      </c>
      <c r="H338" s="765" cm="1">
        <f t="array" ref="H338">_xlfn.XLOOKUP(E338&amp;F338&amp;G338,'2.2 Perdidas por T&amp;D'!$B$12:$B$140&amp;'2.2 Perdidas por T&amp;D'!$C$12:$C$140&amp;'2.2 Perdidas por T&amp;D'!$D$12:$D$140,'2.2 Perdidas por T&amp;D'!$E$12:$E$140,"-")</f>
        <v>22030.5</v>
      </c>
      <c r="I338" s="764" t="str" cm="1">
        <f t="array" ref="I338">_xlfn.XLOOKUP(E338&amp;F338&amp;G338,'2.2 Perdidas por T&amp;D'!$B$12:$B$140&amp;'2.2 Perdidas por T&amp;D'!$C$12:$C$140&amp;'2.2 Perdidas por T&amp;D'!$D$12:$D$140,'2.2 Perdidas por T&amp;D'!$F$12:$F$140,"-")</f>
        <v>kgCO2e/GWh</v>
      </c>
      <c r="J338" s="764" t="str" cm="1">
        <f t="array" ref="J338">_xlfn.XLOOKUP(E338&amp;F338&amp;G338,'2.2 Perdidas por T&amp;D'!$B$12:$B$140&amp;'2.2 Perdidas por T&amp;D'!$C$12:$C$140&amp;'2.2 Perdidas por T&amp;D'!$D$12:$D$140,'2.2 Perdidas por T&amp;D'!$G$12:$G$140,"-")</f>
        <v>Base de Información de Eficiencia Energética - CEPAL- Enerdata, 2018 (https://biee-cepal.enerdata.net/es/datamapper/rate-of-electricity-t&amp;d-losses.html)</v>
      </c>
      <c r="K338" s="764" t="s">
        <v>102</v>
      </c>
      <c r="L338" s="768" t="s">
        <v>102</v>
      </c>
    </row>
    <row r="339" spans="2:12" ht="72">
      <c r="B339" s="764" t="s">
        <v>198</v>
      </c>
      <c r="C339" s="764" t="s">
        <v>44</v>
      </c>
      <c r="D339" s="764" t="s">
        <v>208</v>
      </c>
      <c r="E339" s="764" t="s">
        <v>205</v>
      </c>
      <c r="F339" s="775">
        <v>2022</v>
      </c>
      <c r="G339" s="764" t="s">
        <v>202</v>
      </c>
      <c r="H339" s="765" cm="1">
        <f t="array" ref="H339">_xlfn.XLOOKUP(E339&amp;F339&amp;G339,'2.2 Perdidas por T&amp;D'!$B$12:$B$140&amp;'2.2 Perdidas por T&amp;D'!$C$12:$C$140&amp;'2.2 Perdidas por T&amp;D'!$D$12:$D$140,'2.2 Perdidas por T&amp;D'!$E$12:$E$140,"-")</f>
        <v>2.2030500000000001E-2</v>
      </c>
      <c r="I339" s="764" t="str" cm="1">
        <f t="array" ref="I339">_xlfn.XLOOKUP(E339&amp;F339&amp;G339,'2.2 Perdidas por T&amp;D'!$B$12:$B$140&amp;'2.2 Perdidas por T&amp;D'!$C$12:$C$140&amp;'2.2 Perdidas por T&amp;D'!$D$12:$D$140,'2.2 Perdidas por T&amp;D'!$F$12:$F$140,"-")</f>
        <v>kgCO2e/kWh</v>
      </c>
      <c r="J339" s="764" t="str" cm="1">
        <f t="array" ref="J339">_xlfn.XLOOKUP(E339&amp;F339&amp;G339,'2.2 Perdidas por T&amp;D'!$B$12:$B$140&amp;'2.2 Perdidas por T&amp;D'!$C$12:$C$140&amp;'2.2 Perdidas por T&amp;D'!$D$12:$D$140,'2.2 Perdidas por T&amp;D'!$G$12:$G$140,"-")</f>
        <v>Base de Información de Eficiencia Energética - CEPAL- Enerdata, 2018 (https://biee-cepal.enerdata.net/es/datamapper/rate-of-electricity-t&amp;d-losses.html)</v>
      </c>
      <c r="K339" s="764" t="s">
        <v>102</v>
      </c>
      <c r="L339" s="768" t="s">
        <v>102</v>
      </c>
    </row>
    <row r="340" spans="2:12" ht="72">
      <c r="B340" s="764" t="s">
        <v>198</v>
      </c>
      <c r="C340" s="764" t="s">
        <v>44</v>
      </c>
      <c r="D340" s="764" t="s">
        <v>208</v>
      </c>
      <c r="E340" s="764" t="s">
        <v>205</v>
      </c>
      <c r="F340" s="775">
        <v>2023</v>
      </c>
      <c r="G340" s="764" t="s">
        <v>200</v>
      </c>
      <c r="H340" s="765" cm="1">
        <f t="array" ref="H340">_xlfn.XLOOKUP(E340&amp;F340&amp;G340,'2.2 Perdidas por T&amp;D'!$B$12:$B$140&amp;'2.2 Perdidas por T&amp;D'!$C$12:$C$140&amp;'2.2 Perdidas por T&amp;D'!$D$12:$D$140,'2.2 Perdidas por T&amp;D'!$E$12:$E$140,"-")</f>
        <v>19.166250000000002</v>
      </c>
      <c r="I340" s="764" t="str" cm="1">
        <f t="array" ref="I340">_xlfn.XLOOKUP(E340&amp;F340&amp;G340,'2.2 Perdidas por T&amp;D'!$B$12:$B$140&amp;'2.2 Perdidas por T&amp;D'!$C$12:$C$140&amp;'2.2 Perdidas por T&amp;D'!$D$12:$D$140,'2.2 Perdidas por T&amp;D'!$F$12:$F$140,"-")</f>
        <v>kgCO2e/MWh</v>
      </c>
      <c r="J340" s="764" t="str" cm="1">
        <f t="array" ref="J340">_xlfn.XLOOKUP(E340&amp;F340&amp;G340,'2.2 Perdidas por T&amp;D'!$B$12:$B$140&amp;'2.2 Perdidas por T&amp;D'!$C$12:$C$140&amp;'2.2 Perdidas por T&amp;D'!$D$12:$D$140,'2.2 Perdidas por T&amp;D'!$G$12:$G$140,"-")</f>
        <v>Base de Información de Eficiencia Energética - CEPAL- Enerdata, 2018 (https://biee-cepal.enerdata.net/es/datamapper/rate-of-electricity-t&amp;d-losses.html)</v>
      </c>
      <c r="K340" s="764" t="s">
        <v>102</v>
      </c>
      <c r="L340" s="768" t="s">
        <v>102</v>
      </c>
    </row>
    <row r="341" spans="2:12" ht="72">
      <c r="B341" s="764" t="s">
        <v>198</v>
      </c>
      <c r="C341" s="764" t="s">
        <v>44</v>
      </c>
      <c r="D341" s="764" t="s">
        <v>208</v>
      </c>
      <c r="E341" s="764" t="s">
        <v>205</v>
      </c>
      <c r="F341" s="775">
        <v>2023</v>
      </c>
      <c r="G341" s="764" t="s">
        <v>201</v>
      </c>
      <c r="H341" s="765" cm="1">
        <f t="array" ref="H341">_xlfn.XLOOKUP(E341&amp;F341&amp;G341,'2.2 Perdidas por T&amp;D'!$B$12:$B$140&amp;'2.2 Perdidas por T&amp;D'!$C$12:$C$140&amp;'2.2 Perdidas por T&amp;D'!$D$12:$D$140,'2.2 Perdidas por T&amp;D'!$E$12:$E$140,"-")</f>
        <v>19166.25</v>
      </c>
      <c r="I341" s="764" t="str" cm="1">
        <f t="array" ref="I341">_xlfn.XLOOKUP(E341&amp;F341&amp;G341,'2.2 Perdidas por T&amp;D'!$B$12:$B$140&amp;'2.2 Perdidas por T&amp;D'!$C$12:$C$140&amp;'2.2 Perdidas por T&amp;D'!$D$12:$D$140,'2.2 Perdidas por T&amp;D'!$F$12:$F$140,"-")</f>
        <v>kgCO2e/GWh</v>
      </c>
      <c r="J341" s="764" t="str" cm="1">
        <f t="array" ref="J341">_xlfn.XLOOKUP(E341&amp;F341&amp;G341,'2.2 Perdidas por T&amp;D'!$B$12:$B$140&amp;'2.2 Perdidas por T&amp;D'!$C$12:$C$140&amp;'2.2 Perdidas por T&amp;D'!$D$12:$D$140,'2.2 Perdidas por T&amp;D'!$G$12:$G$140,"-")</f>
        <v>Base de Información de Eficiencia Energética - CEPAL- Enerdata, 2018 (https://biee-cepal.enerdata.net/es/datamapper/rate-of-electricity-t&amp;d-losses.html)</v>
      </c>
      <c r="K341" s="764" t="s">
        <v>102</v>
      </c>
      <c r="L341" s="768" t="s">
        <v>102</v>
      </c>
    </row>
    <row r="342" spans="2:12" ht="72">
      <c r="B342" s="764" t="s">
        <v>198</v>
      </c>
      <c r="C342" s="764" t="s">
        <v>44</v>
      </c>
      <c r="D342" s="764" t="s">
        <v>208</v>
      </c>
      <c r="E342" s="764" t="s">
        <v>205</v>
      </c>
      <c r="F342" s="775">
        <v>2023</v>
      </c>
      <c r="G342" s="764" t="s">
        <v>202</v>
      </c>
      <c r="H342" s="765" cm="1">
        <f t="array" ref="H342">_xlfn.XLOOKUP(E342&amp;F342&amp;G342,'2.2 Perdidas por T&amp;D'!$B$12:$B$140&amp;'2.2 Perdidas por T&amp;D'!$C$12:$C$140&amp;'2.2 Perdidas por T&amp;D'!$D$12:$D$140,'2.2 Perdidas por T&amp;D'!$E$12:$E$140,"-")</f>
        <v>1.9166249999999999E-2</v>
      </c>
      <c r="I342" s="764" t="str" cm="1">
        <f t="array" ref="I342">_xlfn.XLOOKUP(E342&amp;F342&amp;G342,'2.2 Perdidas por T&amp;D'!$B$12:$B$140&amp;'2.2 Perdidas por T&amp;D'!$C$12:$C$140&amp;'2.2 Perdidas por T&amp;D'!$D$12:$D$140,'2.2 Perdidas por T&amp;D'!$F$12:$F$140,"-")</f>
        <v>kgCO2e/kWh</v>
      </c>
      <c r="J342" s="764" t="str" cm="1">
        <f t="array" ref="J342">_xlfn.XLOOKUP(E342&amp;F342&amp;G342,'2.2 Perdidas por T&amp;D'!$B$12:$B$140&amp;'2.2 Perdidas por T&amp;D'!$C$12:$C$140&amp;'2.2 Perdidas por T&amp;D'!$D$12:$D$140,'2.2 Perdidas por T&amp;D'!$G$12:$G$140,"-")</f>
        <v>Base de Información de Eficiencia Energética - CEPAL- Enerdata, 2018 (https://biee-cepal.enerdata.net/es/datamapper/rate-of-electricity-t&amp;d-losses.html)</v>
      </c>
      <c r="K342" s="764" t="s">
        <v>102</v>
      </c>
      <c r="L342" s="768" t="s">
        <v>102</v>
      </c>
    </row>
    <row r="343" spans="2:12" ht="72">
      <c r="B343" s="764" t="s">
        <v>198</v>
      </c>
      <c r="C343" s="764" t="s">
        <v>44</v>
      </c>
      <c r="D343" s="764" t="s">
        <v>208</v>
      </c>
      <c r="E343" s="764" t="s">
        <v>205</v>
      </c>
      <c r="F343" s="775">
        <v>2024</v>
      </c>
      <c r="G343" s="764" t="s">
        <v>200</v>
      </c>
      <c r="H343" s="765" t="str" cm="1">
        <f t="array" ref="H343">_xlfn.XLOOKUP(E343&amp;F343&amp;G343,'2.2 Perdidas por T&amp;D'!$B$12:$B$140&amp;'2.2 Perdidas por T&amp;D'!$C$12:$C$140&amp;'2.2 Perdidas por T&amp;D'!$D$12:$D$140,'2.2 Perdidas por T&amp;D'!$E$12:$E$140,"-")</f>
        <v>PENDIENTE</v>
      </c>
      <c r="I343" s="764" t="str" cm="1">
        <f t="array" ref="I343">_xlfn.XLOOKUP(E343&amp;F343&amp;G343,'2.2 Perdidas por T&amp;D'!$B$12:$B$140&amp;'2.2 Perdidas por T&amp;D'!$C$12:$C$140&amp;'2.2 Perdidas por T&amp;D'!$D$12:$D$140,'2.2 Perdidas por T&amp;D'!$F$12:$F$140,"-")</f>
        <v>kgCO2e/MWh</v>
      </c>
      <c r="J343" s="764" t="str" cm="1">
        <f t="array" ref="J343">_xlfn.XLOOKUP(E343&amp;F343&amp;G343,'2.2 Perdidas por T&amp;D'!$B$12:$B$140&amp;'2.2 Perdidas por T&amp;D'!$C$12:$C$140&amp;'2.2 Perdidas por T&amp;D'!$D$12:$D$140,'2.2 Perdidas por T&amp;D'!$G$12:$G$140,"-")</f>
        <v>Base de Información de Eficiencia Energética - CEPAL- Enerdata, 2018 (https://biee-cepal.enerdata.net/es/datamapper/rate-of-electricity-t&amp;d-losses.html)</v>
      </c>
      <c r="K343" s="764" t="s">
        <v>102</v>
      </c>
      <c r="L343" s="768" t="s">
        <v>102</v>
      </c>
    </row>
    <row r="344" spans="2:12" ht="72">
      <c r="B344" s="764" t="s">
        <v>198</v>
      </c>
      <c r="C344" s="764" t="s">
        <v>44</v>
      </c>
      <c r="D344" s="764" t="s">
        <v>208</v>
      </c>
      <c r="E344" s="764" t="s">
        <v>205</v>
      </c>
      <c r="F344" s="775">
        <v>2024</v>
      </c>
      <c r="G344" s="764" t="s">
        <v>201</v>
      </c>
      <c r="H344" s="765" t="str" cm="1">
        <f t="array" ref="H344">_xlfn.XLOOKUP(E344&amp;F344&amp;G344,'2.2 Perdidas por T&amp;D'!$B$12:$B$140&amp;'2.2 Perdidas por T&amp;D'!$C$12:$C$140&amp;'2.2 Perdidas por T&amp;D'!$D$12:$D$140,'2.2 Perdidas por T&amp;D'!$E$12:$E$140,"-")</f>
        <v>PENDIENTE</v>
      </c>
      <c r="I344" s="764" t="str" cm="1">
        <f t="array" ref="I344">_xlfn.XLOOKUP(E344&amp;F344&amp;G344,'2.2 Perdidas por T&amp;D'!$B$12:$B$140&amp;'2.2 Perdidas por T&amp;D'!$C$12:$C$140&amp;'2.2 Perdidas por T&amp;D'!$D$12:$D$140,'2.2 Perdidas por T&amp;D'!$F$12:$F$140,"-")</f>
        <v>kgCO2e/GWh</v>
      </c>
      <c r="J344" s="764" t="str" cm="1">
        <f t="array" ref="J344">_xlfn.XLOOKUP(E344&amp;F344&amp;G344,'2.2 Perdidas por T&amp;D'!$B$12:$B$140&amp;'2.2 Perdidas por T&amp;D'!$C$12:$C$140&amp;'2.2 Perdidas por T&amp;D'!$D$12:$D$140,'2.2 Perdidas por T&amp;D'!$G$12:$G$140,"-")</f>
        <v>Base de Información de Eficiencia Energética - CEPAL- Enerdata, 2018 (https://biee-cepal.enerdata.net/es/datamapper/rate-of-electricity-t&amp;d-losses.html)</v>
      </c>
      <c r="K344" s="764" t="s">
        <v>102</v>
      </c>
      <c r="L344" s="768" t="s">
        <v>102</v>
      </c>
    </row>
    <row r="345" spans="2:12" ht="72">
      <c r="B345" s="764" t="s">
        <v>198</v>
      </c>
      <c r="C345" s="764" t="s">
        <v>44</v>
      </c>
      <c r="D345" s="764" t="s">
        <v>208</v>
      </c>
      <c r="E345" s="764" t="s">
        <v>205</v>
      </c>
      <c r="F345" s="775">
        <v>2024</v>
      </c>
      <c r="G345" s="764" t="s">
        <v>202</v>
      </c>
      <c r="H345" s="765" t="str" cm="1">
        <f t="array" ref="H345">_xlfn.XLOOKUP(E345&amp;F345&amp;G345,'2.2 Perdidas por T&amp;D'!$B$12:$B$140&amp;'2.2 Perdidas por T&amp;D'!$C$12:$C$140&amp;'2.2 Perdidas por T&amp;D'!$D$12:$D$140,'2.2 Perdidas por T&amp;D'!$E$12:$E$140,"-")</f>
        <v>PENDIENTE</v>
      </c>
      <c r="I345" s="764" t="str" cm="1">
        <f t="array" ref="I345">_xlfn.XLOOKUP(E345&amp;F345&amp;G345,'2.2 Perdidas por T&amp;D'!$B$12:$B$140&amp;'2.2 Perdidas por T&amp;D'!$C$12:$C$140&amp;'2.2 Perdidas por T&amp;D'!$D$12:$D$140,'2.2 Perdidas por T&amp;D'!$F$12:$F$140,"-")</f>
        <v>kgCO2e/kWh</v>
      </c>
      <c r="J345" s="764" t="str" cm="1">
        <f t="array" ref="J345">_xlfn.XLOOKUP(E345&amp;F345&amp;G345,'2.2 Perdidas por T&amp;D'!$B$12:$B$140&amp;'2.2 Perdidas por T&amp;D'!$C$12:$C$140&amp;'2.2 Perdidas por T&amp;D'!$D$12:$D$140,'2.2 Perdidas por T&amp;D'!$G$12:$G$140,"-")</f>
        <v>Base de Información de Eficiencia Energética - CEPAL- Enerdata, 2018 (https://biee-cepal.enerdata.net/es/datamapper/rate-of-electricity-t&amp;d-losses.html)</v>
      </c>
      <c r="K345" s="764" t="s">
        <v>102</v>
      </c>
      <c r="L345" s="768" t="s">
        <v>102</v>
      </c>
    </row>
    <row r="346" spans="2:12" ht="72">
      <c r="B346" s="764" t="s">
        <v>198</v>
      </c>
      <c r="C346" s="764" t="s">
        <v>44</v>
      </c>
      <c r="D346" s="764" t="s">
        <v>208</v>
      </c>
      <c r="E346" s="764" t="s">
        <v>206</v>
      </c>
      <c r="F346" s="775">
        <v>2015</v>
      </c>
      <c r="G346" s="764" t="s">
        <v>200</v>
      </c>
      <c r="H346" s="765" cm="1">
        <f t="array" ref="H346">_xlfn.XLOOKUP(E346&amp;F346&amp;G346,'2.2 Perdidas por T&amp;D'!$B$12:$B$140&amp;'2.2 Perdidas por T&amp;D'!$C$12:$C$140&amp;'2.2 Perdidas por T&amp;D'!$D$12:$D$140,'2.2 Perdidas por T&amp;D'!$E$12:$E$140,"-")</f>
        <v>32.394999810000002</v>
      </c>
      <c r="I346" s="764" t="str" cm="1">
        <f t="array" ref="I346">_xlfn.XLOOKUP(E346&amp;F346&amp;G346,'2.2 Perdidas por T&amp;D'!$B$12:$B$140&amp;'2.2 Perdidas por T&amp;D'!$C$12:$C$140&amp;'2.2 Perdidas por T&amp;D'!$D$12:$D$140,'2.2 Perdidas por T&amp;D'!$F$12:$F$140,"-")</f>
        <v>kgCO2e/MWh</v>
      </c>
      <c r="J346" s="764" t="str" cm="1">
        <f t="array" ref="J346">_xlfn.XLOOKUP(E346&amp;F346&amp;G346,'2.2 Perdidas por T&amp;D'!$B$12:$B$140&amp;'2.2 Perdidas por T&amp;D'!$C$12:$C$140&amp;'2.2 Perdidas por T&amp;D'!$D$12:$D$140,'2.2 Perdidas por T&amp;D'!$G$12:$G$140,"-")</f>
        <v>Base de Información de Eficiencia Energética - CEPAL- Enerdata, 2018 (https://biee-cepal.enerdata.net/es/datamapper/rate-of-electricity-t&amp;d-losses.html)</v>
      </c>
      <c r="K346" s="764" t="s">
        <v>102</v>
      </c>
      <c r="L346" s="768" t="s">
        <v>102</v>
      </c>
    </row>
    <row r="347" spans="2:12" ht="72">
      <c r="B347" s="764" t="s">
        <v>198</v>
      </c>
      <c r="C347" s="764" t="s">
        <v>44</v>
      </c>
      <c r="D347" s="764" t="s">
        <v>208</v>
      </c>
      <c r="E347" s="764" t="s">
        <v>206</v>
      </c>
      <c r="F347" s="775">
        <v>2015</v>
      </c>
      <c r="G347" s="764" t="s">
        <v>201</v>
      </c>
      <c r="H347" s="765" cm="1">
        <f t="array" ref="H347">_xlfn.XLOOKUP(E347&amp;F347&amp;G347,'2.2 Perdidas por T&amp;D'!$B$12:$B$140&amp;'2.2 Perdidas por T&amp;D'!$C$12:$C$140&amp;'2.2 Perdidas por T&amp;D'!$D$12:$D$140,'2.2 Perdidas por T&amp;D'!$E$12:$E$140,"-")</f>
        <v>32394.999810000005</v>
      </c>
      <c r="I347" s="764" t="str" cm="1">
        <f t="array" ref="I347">_xlfn.XLOOKUP(E347&amp;F347&amp;G347,'2.2 Perdidas por T&amp;D'!$B$12:$B$140&amp;'2.2 Perdidas por T&amp;D'!$C$12:$C$140&amp;'2.2 Perdidas por T&amp;D'!$D$12:$D$140,'2.2 Perdidas por T&amp;D'!$F$12:$F$140,"-")</f>
        <v>kgCO2e/GWh</v>
      </c>
      <c r="J347" s="764" t="str" cm="1">
        <f t="array" ref="J347">_xlfn.XLOOKUP(E347&amp;F347&amp;G347,'2.2 Perdidas por T&amp;D'!$B$12:$B$140&amp;'2.2 Perdidas por T&amp;D'!$C$12:$C$140&amp;'2.2 Perdidas por T&amp;D'!$D$12:$D$140,'2.2 Perdidas por T&amp;D'!$G$12:$G$140,"-")</f>
        <v>Base de Información de Eficiencia Energética - CEPAL- Enerdata, 2018 (https://biee-cepal.enerdata.net/es/datamapper/rate-of-electricity-t&amp;d-losses.html)</v>
      </c>
      <c r="K347" s="764" t="s">
        <v>102</v>
      </c>
      <c r="L347" s="768" t="s">
        <v>102</v>
      </c>
    </row>
    <row r="348" spans="2:12" ht="72">
      <c r="B348" s="764" t="s">
        <v>198</v>
      </c>
      <c r="C348" s="764" t="s">
        <v>44</v>
      </c>
      <c r="D348" s="764" t="s">
        <v>208</v>
      </c>
      <c r="E348" s="764" t="s">
        <v>206</v>
      </c>
      <c r="F348" s="775">
        <v>2015</v>
      </c>
      <c r="G348" s="764" t="s">
        <v>202</v>
      </c>
      <c r="H348" s="765" cm="1">
        <f t="array" ref="H348">_xlfn.XLOOKUP(E348&amp;F348&amp;G348,'2.2 Perdidas por T&amp;D'!$B$12:$B$140&amp;'2.2 Perdidas por T&amp;D'!$C$12:$C$140&amp;'2.2 Perdidas por T&amp;D'!$D$12:$D$140,'2.2 Perdidas por T&amp;D'!$E$12:$E$140,"-")</f>
        <v>3.2394999810000005E-2</v>
      </c>
      <c r="I348" s="764" t="str" cm="1">
        <f t="array" ref="I348">_xlfn.XLOOKUP(E348&amp;F348&amp;G348,'2.2 Perdidas por T&amp;D'!$B$12:$B$140&amp;'2.2 Perdidas por T&amp;D'!$C$12:$C$140&amp;'2.2 Perdidas por T&amp;D'!$D$12:$D$140,'2.2 Perdidas por T&amp;D'!$F$12:$F$140,"-")</f>
        <v>kgCO2e/kWh</v>
      </c>
      <c r="J348" s="764" t="str" cm="1">
        <f t="array" ref="J348">_xlfn.XLOOKUP(E348&amp;F348&amp;G348,'2.2 Perdidas por T&amp;D'!$B$12:$B$140&amp;'2.2 Perdidas por T&amp;D'!$C$12:$C$140&amp;'2.2 Perdidas por T&amp;D'!$D$12:$D$140,'2.2 Perdidas por T&amp;D'!$G$12:$G$140,"-")</f>
        <v>Base de Información de Eficiencia Energética - CEPAL- Enerdata, 2018 (https://biee-cepal.enerdata.net/es/datamapper/rate-of-electricity-t&amp;d-losses.html)</v>
      </c>
      <c r="K348" s="764" t="s">
        <v>102</v>
      </c>
      <c r="L348" s="768" t="s">
        <v>102</v>
      </c>
    </row>
    <row r="349" spans="2:12" ht="72">
      <c r="B349" s="764" t="s">
        <v>198</v>
      </c>
      <c r="C349" s="764" t="s">
        <v>44</v>
      </c>
      <c r="D349" s="764" t="s">
        <v>208</v>
      </c>
      <c r="E349" s="764" t="s">
        <v>206</v>
      </c>
      <c r="F349" s="775">
        <v>2016</v>
      </c>
      <c r="G349" s="764" t="s">
        <v>200</v>
      </c>
      <c r="H349" s="765" cm="1">
        <f t="array" ref="H349">_xlfn.XLOOKUP(E349&amp;F349&amp;G349,'2.2 Perdidas por T&amp;D'!$B$12:$B$140&amp;'2.2 Perdidas por T&amp;D'!$C$12:$C$140&amp;'2.2 Perdidas por T&amp;D'!$D$12:$D$140,'2.2 Perdidas por T&amp;D'!$E$12:$E$140,"-")</f>
        <v>32.323749810000002</v>
      </c>
      <c r="I349" s="764" t="str" cm="1">
        <f t="array" ref="I349">_xlfn.XLOOKUP(E349&amp;F349&amp;G349,'2.2 Perdidas por T&amp;D'!$B$12:$B$140&amp;'2.2 Perdidas por T&amp;D'!$C$12:$C$140&amp;'2.2 Perdidas por T&amp;D'!$D$12:$D$140,'2.2 Perdidas por T&amp;D'!$F$12:$F$140,"-")</f>
        <v>kgCO2e/MWh</v>
      </c>
      <c r="J349" s="764" t="str" cm="1">
        <f t="array" ref="J349">_xlfn.XLOOKUP(E349&amp;F349&amp;G349,'2.2 Perdidas por T&amp;D'!$B$12:$B$140&amp;'2.2 Perdidas por T&amp;D'!$C$12:$C$140&amp;'2.2 Perdidas por T&amp;D'!$D$12:$D$140,'2.2 Perdidas por T&amp;D'!$G$12:$G$140,"-")</f>
        <v>Base de Información de Eficiencia Energética - CEPAL- Enerdata, 2018 (https://biee-cepal.enerdata.net/es/datamapper/rate-of-electricity-t&amp;d-losses.html)</v>
      </c>
      <c r="K349" s="764" t="s">
        <v>102</v>
      </c>
      <c r="L349" s="768" t="s">
        <v>102</v>
      </c>
    </row>
    <row r="350" spans="2:12" ht="72">
      <c r="B350" s="764" t="s">
        <v>198</v>
      </c>
      <c r="C350" s="764" t="s">
        <v>44</v>
      </c>
      <c r="D350" s="764" t="s">
        <v>208</v>
      </c>
      <c r="E350" s="764" t="s">
        <v>206</v>
      </c>
      <c r="F350" s="775">
        <v>2016</v>
      </c>
      <c r="G350" s="764" t="s">
        <v>201</v>
      </c>
      <c r="H350" s="765" cm="1">
        <f t="array" ref="H350">_xlfn.XLOOKUP(E350&amp;F350&amp;G350,'2.2 Perdidas por T&amp;D'!$B$12:$B$140&amp;'2.2 Perdidas por T&amp;D'!$C$12:$C$140&amp;'2.2 Perdidas por T&amp;D'!$D$12:$D$140,'2.2 Perdidas por T&amp;D'!$E$12:$E$140,"-")</f>
        <v>32323.749810000005</v>
      </c>
      <c r="I350" s="764" t="str" cm="1">
        <f t="array" ref="I350">_xlfn.XLOOKUP(E350&amp;F350&amp;G350,'2.2 Perdidas por T&amp;D'!$B$12:$B$140&amp;'2.2 Perdidas por T&amp;D'!$C$12:$C$140&amp;'2.2 Perdidas por T&amp;D'!$D$12:$D$140,'2.2 Perdidas por T&amp;D'!$F$12:$F$140,"-")</f>
        <v>kgCO2e/GWh</v>
      </c>
      <c r="J350" s="764" t="str" cm="1">
        <f t="array" ref="J350">_xlfn.XLOOKUP(E350&amp;F350&amp;G350,'2.2 Perdidas por T&amp;D'!$B$12:$B$140&amp;'2.2 Perdidas por T&amp;D'!$C$12:$C$140&amp;'2.2 Perdidas por T&amp;D'!$D$12:$D$140,'2.2 Perdidas por T&amp;D'!$G$12:$G$140,"-")</f>
        <v>Base de Información de Eficiencia Energética - CEPAL- Enerdata, 2018 (https://biee-cepal.enerdata.net/es/datamapper/rate-of-electricity-t&amp;d-losses.html)</v>
      </c>
      <c r="K350" s="764" t="s">
        <v>102</v>
      </c>
      <c r="L350" s="768" t="s">
        <v>102</v>
      </c>
    </row>
    <row r="351" spans="2:12" ht="72">
      <c r="B351" s="764" t="s">
        <v>198</v>
      </c>
      <c r="C351" s="764" t="s">
        <v>44</v>
      </c>
      <c r="D351" s="764" t="s">
        <v>208</v>
      </c>
      <c r="E351" s="764" t="s">
        <v>206</v>
      </c>
      <c r="F351" s="775">
        <v>2016</v>
      </c>
      <c r="G351" s="764" t="s">
        <v>202</v>
      </c>
      <c r="H351" s="765" cm="1">
        <f t="array" ref="H351">_xlfn.XLOOKUP(E351&amp;F351&amp;G351,'2.2 Perdidas por T&amp;D'!$B$12:$B$140&amp;'2.2 Perdidas por T&amp;D'!$C$12:$C$140&amp;'2.2 Perdidas por T&amp;D'!$D$12:$D$140,'2.2 Perdidas por T&amp;D'!$E$12:$E$140,"-")</f>
        <v>3.232374981000001E-2</v>
      </c>
      <c r="I351" s="764" t="str" cm="1">
        <f t="array" ref="I351">_xlfn.XLOOKUP(E351&amp;F351&amp;G351,'2.2 Perdidas por T&amp;D'!$B$12:$B$140&amp;'2.2 Perdidas por T&amp;D'!$C$12:$C$140&amp;'2.2 Perdidas por T&amp;D'!$D$12:$D$140,'2.2 Perdidas por T&amp;D'!$F$12:$F$140,"-")</f>
        <v>kgCO2e/kWh</v>
      </c>
      <c r="J351" s="764" t="str" cm="1">
        <f t="array" ref="J351">_xlfn.XLOOKUP(E351&amp;F351&amp;G351,'2.2 Perdidas por T&amp;D'!$B$12:$B$140&amp;'2.2 Perdidas por T&amp;D'!$C$12:$C$140&amp;'2.2 Perdidas por T&amp;D'!$D$12:$D$140,'2.2 Perdidas por T&amp;D'!$G$12:$G$140,"-")</f>
        <v>Base de Información de Eficiencia Energética - CEPAL- Enerdata, 2018 (https://biee-cepal.enerdata.net/es/datamapper/rate-of-electricity-t&amp;d-losses.html)</v>
      </c>
      <c r="K351" s="764" t="s">
        <v>102</v>
      </c>
      <c r="L351" s="768" t="s">
        <v>102</v>
      </c>
    </row>
    <row r="352" spans="2:12" ht="72">
      <c r="B352" s="764" t="s">
        <v>198</v>
      </c>
      <c r="C352" s="764" t="s">
        <v>44</v>
      </c>
      <c r="D352" s="764" t="s">
        <v>208</v>
      </c>
      <c r="E352" s="764" t="s">
        <v>206</v>
      </c>
      <c r="F352" s="775">
        <v>2017</v>
      </c>
      <c r="G352" s="764" t="s">
        <v>200</v>
      </c>
      <c r="H352" s="765" cm="1">
        <f t="array" ref="H352">_xlfn.XLOOKUP(E352&amp;F352&amp;G352,'2.2 Perdidas por T&amp;D'!$B$12:$B$140&amp;'2.2 Perdidas por T&amp;D'!$C$12:$C$140&amp;'2.2 Perdidas por T&amp;D'!$D$12:$D$140,'2.2 Perdidas por T&amp;D'!$E$12:$E$140,"-")</f>
        <v>32.361750000000001</v>
      </c>
      <c r="I352" s="764" t="str" cm="1">
        <f t="array" ref="I352">_xlfn.XLOOKUP(E352&amp;F352&amp;G352,'2.2 Perdidas por T&amp;D'!$B$12:$B$140&amp;'2.2 Perdidas por T&amp;D'!$C$12:$C$140&amp;'2.2 Perdidas por T&amp;D'!$D$12:$D$140,'2.2 Perdidas por T&amp;D'!$F$12:$F$140,"-")</f>
        <v>kgCO2e/MWh</v>
      </c>
      <c r="J352" s="764" t="str" cm="1">
        <f t="array" ref="J352">_xlfn.XLOOKUP(E352&amp;F352&amp;G352,'2.2 Perdidas por T&amp;D'!$B$12:$B$140&amp;'2.2 Perdidas por T&amp;D'!$C$12:$C$140&amp;'2.2 Perdidas por T&amp;D'!$D$12:$D$140,'2.2 Perdidas por T&amp;D'!$G$12:$G$140,"-")</f>
        <v>Base de Información de Eficiencia Energética - CEPAL- Enerdata, 2018 (https://biee-cepal.enerdata.net/es/datamapper/rate-of-electricity-t&amp;d-losses.html)</v>
      </c>
      <c r="K352" s="764" t="s">
        <v>102</v>
      </c>
      <c r="L352" s="768" t="s">
        <v>102</v>
      </c>
    </row>
    <row r="353" spans="2:12" ht="72">
      <c r="B353" s="764" t="s">
        <v>198</v>
      </c>
      <c r="C353" s="764" t="s">
        <v>44</v>
      </c>
      <c r="D353" s="764" t="s">
        <v>208</v>
      </c>
      <c r="E353" s="764" t="s">
        <v>206</v>
      </c>
      <c r="F353" s="775">
        <v>2017</v>
      </c>
      <c r="G353" s="764" t="s">
        <v>201</v>
      </c>
      <c r="H353" s="765" cm="1">
        <f t="array" ref="H353">_xlfn.XLOOKUP(E353&amp;F353&amp;G353,'2.2 Perdidas por T&amp;D'!$B$12:$B$140&amp;'2.2 Perdidas por T&amp;D'!$C$12:$C$140&amp;'2.2 Perdidas por T&amp;D'!$D$12:$D$140,'2.2 Perdidas por T&amp;D'!$E$12:$E$140,"-")</f>
        <v>32361.75</v>
      </c>
      <c r="I353" s="764" t="str" cm="1">
        <f t="array" ref="I353">_xlfn.XLOOKUP(E353&amp;F353&amp;G353,'2.2 Perdidas por T&amp;D'!$B$12:$B$140&amp;'2.2 Perdidas por T&amp;D'!$C$12:$C$140&amp;'2.2 Perdidas por T&amp;D'!$D$12:$D$140,'2.2 Perdidas por T&amp;D'!$F$12:$F$140,"-")</f>
        <v>kgCO2e/GWh</v>
      </c>
      <c r="J353" s="764" t="str" cm="1">
        <f t="array" ref="J353">_xlfn.XLOOKUP(E353&amp;F353&amp;G353,'2.2 Perdidas por T&amp;D'!$B$12:$B$140&amp;'2.2 Perdidas por T&amp;D'!$C$12:$C$140&amp;'2.2 Perdidas por T&amp;D'!$D$12:$D$140,'2.2 Perdidas por T&amp;D'!$G$12:$G$140,"-")</f>
        <v>Base de Información de Eficiencia Energética - CEPAL- Enerdata, 2018 (https://biee-cepal.enerdata.net/es/datamapper/rate-of-electricity-t&amp;d-losses.html)</v>
      </c>
      <c r="K353" s="764" t="s">
        <v>102</v>
      </c>
      <c r="L353" s="768" t="s">
        <v>102</v>
      </c>
    </row>
    <row r="354" spans="2:12" ht="72">
      <c r="B354" s="764" t="s">
        <v>198</v>
      </c>
      <c r="C354" s="764" t="s">
        <v>44</v>
      </c>
      <c r="D354" s="764" t="s">
        <v>208</v>
      </c>
      <c r="E354" s="764" t="s">
        <v>206</v>
      </c>
      <c r="F354" s="775">
        <v>2017</v>
      </c>
      <c r="G354" s="764" t="s">
        <v>202</v>
      </c>
      <c r="H354" s="765" cm="1">
        <f t="array" ref="H354">_xlfn.XLOOKUP(E354&amp;F354&amp;G354,'2.2 Perdidas por T&amp;D'!$B$12:$B$140&amp;'2.2 Perdidas por T&amp;D'!$C$12:$C$140&amp;'2.2 Perdidas por T&amp;D'!$D$12:$D$140,'2.2 Perdidas por T&amp;D'!$E$12:$E$140,"-")</f>
        <v>3.2361750000000002E-2</v>
      </c>
      <c r="I354" s="764" t="str" cm="1">
        <f t="array" ref="I354">_xlfn.XLOOKUP(E354&amp;F354&amp;G354,'2.2 Perdidas por T&amp;D'!$B$12:$B$140&amp;'2.2 Perdidas por T&amp;D'!$C$12:$C$140&amp;'2.2 Perdidas por T&amp;D'!$D$12:$D$140,'2.2 Perdidas por T&amp;D'!$F$12:$F$140,"-")</f>
        <v>kgCO2e/kWh</v>
      </c>
      <c r="J354" s="764" t="str" cm="1">
        <f t="array" ref="J354">_xlfn.XLOOKUP(E354&amp;F354&amp;G354,'2.2 Perdidas por T&amp;D'!$B$12:$B$140&amp;'2.2 Perdidas por T&amp;D'!$C$12:$C$140&amp;'2.2 Perdidas por T&amp;D'!$D$12:$D$140,'2.2 Perdidas por T&amp;D'!$G$12:$G$140,"-")</f>
        <v>Base de Información de Eficiencia Energética - CEPAL- Enerdata, 2018 (https://biee-cepal.enerdata.net/es/datamapper/rate-of-electricity-t&amp;d-losses.html)</v>
      </c>
      <c r="K354" s="764" t="s">
        <v>102</v>
      </c>
      <c r="L354" s="768" t="s">
        <v>102</v>
      </c>
    </row>
    <row r="355" spans="2:12" ht="72">
      <c r="B355" s="764" t="s">
        <v>198</v>
      </c>
      <c r="C355" s="764" t="s">
        <v>44</v>
      </c>
      <c r="D355" s="764" t="s">
        <v>208</v>
      </c>
      <c r="E355" s="764" t="s">
        <v>206</v>
      </c>
      <c r="F355" s="775">
        <v>2018</v>
      </c>
      <c r="G355" s="764" t="s">
        <v>200</v>
      </c>
      <c r="H355" s="765" cm="1">
        <f t="array" ref="H355">_xlfn.XLOOKUP(E355&amp;F355&amp;G355,'2.2 Perdidas por T&amp;D'!$B$12:$B$140&amp;'2.2 Perdidas por T&amp;D'!$C$12:$C$140&amp;'2.2 Perdidas por T&amp;D'!$D$12:$D$140,'2.2 Perdidas por T&amp;D'!$E$12:$E$140,"-")</f>
        <v>32.603999999999999</v>
      </c>
      <c r="I355" s="764" t="str" cm="1">
        <f t="array" ref="I355">_xlfn.XLOOKUP(E355&amp;F355&amp;G355,'2.2 Perdidas por T&amp;D'!$B$12:$B$140&amp;'2.2 Perdidas por T&amp;D'!$C$12:$C$140&amp;'2.2 Perdidas por T&amp;D'!$D$12:$D$140,'2.2 Perdidas por T&amp;D'!$F$12:$F$140,"-")</f>
        <v>kgCO2e/MWh</v>
      </c>
      <c r="J355" s="764" t="str" cm="1">
        <f t="array" ref="J355">_xlfn.XLOOKUP(E355&amp;F355&amp;G355,'2.2 Perdidas por T&amp;D'!$B$12:$B$140&amp;'2.2 Perdidas por T&amp;D'!$C$12:$C$140&amp;'2.2 Perdidas por T&amp;D'!$D$12:$D$140,'2.2 Perdidas por T&amp;D'!$G$12:$G$140,"-")</f>
        <v>Base de Información de Eficiencia Energética - CEPAL- Enerdata, 2018 (https://biee-cepal.enerdata.net/es/datamapper/rate-of-electricity-t&amp;d-losses.html)</v>
      </c>
      <c r="K355" s="764" t="s">
        <v>102</v>
      </c>
      <c r="L355" s="768" t="s">
        <v>102</v>
      </c>
    </row>
    <row r="356" spans="2:12" ht="72">
      <c r="B356" s="764" t="s">
        <v>198</v>
      </c>
      <c r="C356" s="764" t="s">
        <v>44</v>
      </c>
      <c r="D356" s="764" t="s">
        <v>208</v>
      </c>
      <c r="E356" s="764" t="s">
        <v>206</v>
      </c>
      <c r="F356" s="775">
        <v>2018</v>
      </c>
      <c r="G356" s="764" t="s">
        <v>201</v>
      </c>
      <c r="H356" s="765" cm="1">
        <f t="array" ref="H356">_xlfn.XLOOKUP(E356&amp;F356&amp;G356,'2.2 Perdidas por T&amp;D'!$B$12:$B$140&amp;'2.2 Perdidas por T&amp;D'!$C$12:$C$140&amp;'2.2 Perdidas por T&amp;D'!$D$12:$D$140,'2.2 Perdidas por T&amp;D'!$E$12:$E$140,"-")</f>
        <v>32604</v>
      </c>
      <c r="I356" s="764" t="str" cm="1">
        <f t="array" ref="I356">_xlfn.XLOOKUP(E356&amp;F356&amp;G356,'2.2 Perdidas por T&amp;D'!$B$12:$B$140&amp;'2.2 Perdidas por T&amp;D'!$C$12:$C$140&amp;'2.2 Perdidas por T&amp;D'!$D$12:$D$140,'2.2 Perdidas por T&amp;D'!$F$12:$F$140,"-")</f>
        <v>kgCO2e/GWh</v>
      </c>
      <c r="J356" s="764" t="str" cm="1">
        <f t="array" ref="J356">_xlfn.XLOOKUP(E356&amp;F356&amp;G356,'2.2 Perdidas por T&amp;D'!$B$12:$B$140&amp;'2.2 Perdidas por T&amp;D'!$C$12:$C$140&amp;'2.2 Perdidas por T&amp;D'!$D$12:$D$140,'2.2 Perdidas por T&amp;D'!$G$12:$G$140,"-")</f>
        <v>Base de Información de Eficiencia Energética - CEPAL- Enerdata, 2018 (https://biee-cepal.enerdata.net/es/datamapper/rate-of-electricity-t&amp;d-losses.html)</v>
      </c>
      <c r="K356" s="764" t="s">
        <v>102</v>
      </c>
      <c r="L356" s="768" t="s">
        <v>102</v>
      </c>
    </row>
    <row r="357" spans="2:12" ht="72">
      <c r="B357" s="764" t="s">
        <v>198</v>
      </c>
      <c r="C357" s="764" t="s">
        <v>44</v>
      </c>
      <c r="D357" s="764" t="s">
        <v>208</v>
      </c>
      <c r="E357" s="764" t="s">
        <v>206</v>
      </c>
      <c r="F357" s="775">
        <v>2018</v>
      </c>
      <c r="G357" s="764" t="s">
        <v>202</v>
      </c>
      <c r="H357" s="765" cm="1">
        <f t="array" ref="H357">_xlfn.XLOOKUP(E357&amp;F357&amp;G357,'2.2 Perdidas por T&amp;D'!$B$12:$B$140&amp;'2.2 Perdidas por T&amp;D'!$C$12:$C$140&amp;'2.2 Perdidas por T&amp;D'!$D$12:$D$140,'2.2 Perdidas por T&amp;D'!$E$12:$E$140,"-")</f>
        <v>3.2604000000000008E-2</v>
      </c>
      <c r="I357" s="764" t="str" cm="1">
        <f t="array" ref="I357">_xlfn.XLOOKUP(E357&amp;F357&amp;G357,'2.2 Perdidas por T&amp;D'!$B$12:$B$140&amp;'2.2 Perdidas por T&amp;D'!$C$12:$C$140&amp;'2.2 Perdidas por T&amp;D'!$D$12:$D$140,'2.2 Perdidas por T&amp;D'!$F$12:$F$140,"-")</f>
        <v>kgCO2e/kWh</v>
      </c>
      <c r="J357" s="764" t="str" cm="1">
        <f t="array" ref="J357">_xlfn.XLOOKUP(E357&amp;F357&amp;G357,'2.2 Perdidas por T&amp;D'!$B$12:$B$140&amp;'2.2 Perdidas por T&amp;D'!$C$12:$C$140&amp;'2.2 Perdidas por T&amp;D'!$D$12:$D$140,'2.2 Perdidas por T&amp;D'!$G$12:$G$140,"-")</f>
        <v>Base de Información de Eficiencia Energética - CEPAL- Enerdata, 2018 (https://biee-cepal.enerdata.net/es/datamapper/rate-of-electricity-t&amp;d-losses.html)</v>
      </c>
      <c r="K357" s="764" t="s">
        <v>102</v>
      </c>
      <c r="L357" s="768" t="s">
        <v>102</v>
      </c>
    </row>
    <row r="358" spans="2:12" ht="72">
      <c r="B358" s="764" t="s">
        <v>198</v>
      </c>
      <c r="C358" s="764" t="s">
        <v>44</v>
      </c>
      <c r="D358" s="764" t="s">
        <v>208</v>
      </c>
      <c r="E358" s="764" t="s">
        <v>206</v>
      </c>
      <c r="F358" s="775">
        <v>2019</v>
      </c>
      <c r="G358" s="764" t="s">
        <v>200</v>
      </c>
      <c r="H358" s="765" cm="1">
        <f t="array" ref="H358">_xlfn.XLOOKUP(E358&amp;F358&amp;G358,'2.2 Perdidas por T&amp;D'!$B$12:$B$140&amp;'2.2 Perdidas por T&amp;D'!$C$12:$C$140&amp;'2.2 Perdidas por T&amp;D'!$D$12:$D$140,'2.2 Perdidas por T&amp;D'!$E$12:$E$140,"-")</f>
        <v>33.953000189999997</v>
      </c>
      <c r="I358" s="764" t="str" cm="1">
        <f t="array" ref="I358">_xlfn.XLOOKUP(E358&amp;F358&amp;G358,'2.2 Perdidas por T&amp;D'!$B$12:$B$140&amp;'2.2 Perdidas por T&amp;D'!$C$12:$C$140&amp;'2.2 Perdidas por T&amp;D'!$D$12:$D$140,'2.2 Perdidas por T&amp;D'!$F$12:$F$140,"-")</f>
        <v>kgCO2e/MWh</v>
      </c>
      <c r="J358" s="764" t="str" cm="1">
        <f t="array" ref="J358">_xlfn.XLOOKUP(E358&amp;F358&amp;G358,'2.2 Perdidas por T&amp;D'!$B$12:$B$140&amp;'2.2 Perdidas por T&amp;D'!$C$12:$C$140&amp;'2.2 Perdidas por T&amp;D'!$D$12:$D$140,'2.2 Perdidas por T&amp;D'!$G$12:$G$140,"-")</f>
        <v>Base de Información de Eficiencia Energética - CEPAL- Enerdata, 2018 (https://biee-cepal.enerdata.net/es/datamapper/rate-of-electricity-t&amp;d-losses.html)</v>
      </c>
      <c r="K358" s="764" t="s">
        <v>102</v>
      </c>
      <c r="L358" s="768" t="s">
        <v>102</v>
      </c>
    </row>
    <row r="359" spans="2:12" ht="72">
      <c r="B359" s="764" t="s">
        <v>198</v>
      </c>
      <c r="C359" s="764" t="s">
        <v>44</v>
      </c>
      <c r="D359" s="764" t="s">
        <v>208</v>
      </c>
      <c r="E359" s="764" t="s">
        <v>206</v>
      </c>
      <c r="F359" s="775">
        <v>2019</v>
      </c>
      <c r="G359" s="764" t="s">
        <v>201</v>
      </c>
      <c r="H359" s="765" cm="1">
        <f t="array" ref="H359">_xlfn.XLOOKUP(E359&amp;F359&amp;G359,'2.2 Perdidas por T&amp;D'!$B$12:$B$140&amp;'2.2 Perdidas por T&amp;D'!$C$12:$C$140&amp;'2.2 Perdidas por T&amp;D'!$D$12:$D$140,'2.2 Perdidas por T&amp;D'!$E$12:$E$140,"-")</f>
        <v>33953.000189999999</v>
      </c>
      <c r="I359" s="764" t="str" cm="1">
        <f t="array" ref="I359">_xlfn.XLOOKUP(E359&amp;F359&amp;G359,'2.2 Perdidas por T&amp;D'!$B$12:$B$140&amp;'2.2 Perdidas por T&amp;D'!$C$12:$C$140&amp;'2.2 Perdidas por T&amp;D'!$D$12:$D$140,'2.2 Perdidas por T&amp;D'!$F$12:$F$140,"-")</f>
        <v>kgCO2e/GWh</v>
      </c>
      <c r="J359" s="764" t="str" cm="1">
        <f t="array" ref="J359">_xlfn.XLOOKUP(E359&amp;F359&amp;G359,'2.2 Perdidas por T&amp;D'!$B$12:$B$140&amp;'2.2 Perdidas por T&amp;D'!$C$12:$C$140&amp;'2.2 Perdidas por T&amp;D'!$D$12:$D$140,'2.2 Perdidas por T&amp;D'!$G$12:$G$140,"-")</f>
        <v>Base de Información de Eficiencia Energética - CEPAL- Enerdata, 2018 (https://biee-cepal.enerdata.net/es/datamapper/rate-of-electricity-t&amp;d-losses.html)</v>
      </c>
      <c r="K359" s="764" t="s">
        <v>102</v>
      </c>
      <c r="L359" s="768" t="s">
        <v>102</v>
      </c>
    </row>
    <row r="360" spans="2:12" ht="72">
      <c r="B360" s="764" t="s">
        <v>198</v>
      </c>
      <c r="C360" s="764" t="s">
        <v>44</v>
      </c>
      <c r="D360" s="764" t="s">
        <v>208</v>
      </c>
      <c r="E360" s="764" t="s">
        <v>206</v>
      </c>
      <c r="F360" s="775">
        <v>2019</v>
      </c>
      <c r="G360" s="764" t="s">
        <v>202</v>
      </c>
      <c r="H360" s="765" cm="1">
        <f t="array" ref="H360">_xlfn.XLOOKUP(E360&amp;F360&amp;G360,'2.2 Perdidas por T&amp;D'!$B$12:$B$140&amp;'2.2 Perdidas por T&amp;D'!$C$12:$C$140&amp;'2.2 Perdidas por T&amp;D'!$D$12:$D$140,'2.2 Perdidas por T&amp;D'!$E$12:$E$140,"-")</f>
        <v>3.3953000189999999E-2</v>
      </c>
      <c r="I360" s="764" t="str" cm="1">
        <f t="array" ref="I360">_xlfn.XLOOKUP(E360&amp;F360&amp;G360,'2.2 Perdidas por T&amp;D'!$B$12:$B$140&amp;'2.2 Perdidas por T&amp;D'!$C$12:$C$140&amp;'2.2 Perdidas por T&amp;D'!$D$12:$D$140,'2.2 Perdidas por T&amp;D'!$F$12:$F$140,"-")</f>
        <v>kgCO2e/kWh</v>
      </c>
      <c r="J360" s="764" t="str" cm="1">
        <f t="array" ref="J360">_xlfn.XLOOKUP(E360&amp;F360&amp;G360,'2.2 Perdidas por T&amp;D'!$B$12:$B$140&amp;'2.2 Perdidas por T&amp;D'!$C$12:$C$140&amp;'2.2 Perdidas por T&amp;D'!$D$12:$D$140,'2.2 Perdidas por T&amp;D'!$G$12:$G$140,"-")</f>
        <v>Base de Información de Eficiencia Energética - CEPAL- Enerdata, 2018 (https://biee-cepal.enerdata.net/es/datamapper/rate-of-electricity-t&amp;d-losses.html)</v>
      </c>
      <c r="K360" s="764" t="s">
        <v>102</v>
      </c>
      <c r="L360" s="768" t="s">
        <v>102</v>
      </c>
    </row>
    <row r="361" spans="2:12" ht="72">
      <c r="B361" s="764" t="s">
        <v>198</v>
      </c>
      <c r="C361" s="764" t="s">
        <v>44</v>
      </c>
      <c r="D361" s="764" t="s">
        <v>208</v>
      </c>
      <c r="E361" s="764" t="s">
        <v>206</v>
      </c>
      <c r="F361" s="775">
        <v>2020</v>
      </c>
      <c r="G361" s="764" t="s">
        <v>200</v>
      </c>
      <c r="H361" s="765" cm="1">
        <f t="array" ref="H361">_xlfn.XLOOKUP(E361&amp;F361&amp;G361,'2.2 Perdidas por T&amp;D'!$B$12:$B$140&amp;'2.2 Perdidas por T&amp;D'!$C$12:$C$140&amp;'2.2 Perdidas por T&amp;D'!$D$12:$D$140,'2.2 Perdidas por T&amp;D'!$E$12:$E$140,"-")</f>
        <v>33.031500000000001</v>
      </c>
      <c r="I361" s="764" t="str" cm="1">
        <f t="array" ref="I361">_xlfn.XLOOKUP(E361&amp;F361&amp;G361,'2.2 Perdidas por T&amp;D'!$B$12:$B$140&amp;'2.2 Perdidas por T&amp;D'!$C$12:$C$140&amp;'2.2 Perdidas por T&amp;D'!$D$12:$D$140,'2.2 Perdidas por T&amp;D'!$F$12:$F$140,"-")</f>
        <v>kgCO2e/MWh</v>
      </c>
      <c r="J361" s="764" t="str" cm="1">
        <f t="array" ref="J361">_xlfn.XLOOKUP(E361&amp;F361&amp;G361,'2.2 Perdidas por T&amp;D'!$B$12:$B$140&amp;'2.2 Perdidas por T&amp;D'!$C$12:$C$140&amp;'2.2 Perdidas por T&amp;D'!$D$12:$D$140,'2.2 Perdidas por T&amp;D'!$G$12:$G$140,"-")</f>
        <v>Base de Información de Eficiencia Energética - CEPAL- Enerdata, 2018 (https://biee-cepal.enerdata.net/es/datamapper/rate-of-electricity-t&amp;d-losses.html)</v>
      </c>
      <c r="K361" s="764" t="s">
        <v>102</v>
      </c>
      <c r="L361" s="768" t="s">
        <v>102</v>
      </c>
    </row>
    <row r="362" spans="2:12" ht="72">
      <c r="B362" s="764" t="s">
        <v>198</v>
      </c>
      <c r="C362" s="764" t="s">
        <v>44</v>
      </c>
      <c r="D362" s="764" t="s">
        <v>208</v>
      </c>
      <c r="E362" s="764" t="s">
        <v>206</v>
      </c>
      <c r="F362" s="775">
        <v>2020</v>
      </c>
      <c r="G362" s="764" t="s">
        <v>201</v>
      </c>
      <c r="H362" s="765" cm="1">
        <f t="array" ref="H362">_xlfn.XLOOKUP(E362&amp;F362&amp;G362,'2.2 Perdidas por T&amp;D'!$B$12:$B$140&amp;'2.2 Perdidas por T&amp;D'!$C$12:$C$140&amp;'2.2 Perdidas por T&amp;D'!$D$12:$D$140,'2.2 Perdidas por T&amp;D'!$E$12:$E$140,"-")</f>
        <v>33031.5</v>
      </c>
      <c r="I362" s="764" t="str" cm="1">
        <f t="array" ref="I362">_xlfn.XLOOKUP(E362&amp;F362&amp;G362,'2.2 Perdidas por T&amp;D'!$B$12:$B$140&amp;'2.2 Perdidas por T&amp;D'!$C$12:$C$140&amp;'2.2 Perdidas por T&amp;D'!$D$12:$D$140,'2.2 Perdidas por T&amp;D'!$F$12:$F$140,"-")</f>
        <v>kgCO2e/GWh</v>
      </c>
      <c r="J362" s="764" t="str" cm="1">
        <f t="array" ref="J362">_xlfn.XLOOKUP(E362&amp;F362&amp;G362,'2.2 Perdidas por T&amp;D'!$B$12:$B$140&amp;'2.2 Perdidas por T&amp;D'!$C$12:$C$140&amp;'2.2 Perdidas por T&amp;D'!$D$12:$D$140,'2.2 Perdidas por T&amp;D'!$G$12:$G$140,"-")</f>
        <v>Base de Información de Eficiencia Energética - CEPAL- Enerdata, 2018 (https://biee-cepal.enerdata.net/es/datamapper/rate-of-electricity-t&amp;d-losses.html)</v>
      </c>
      <c r="K362" s="764" t="s">
        <v>102</v>
      </c>
      <c r="L362" s="768" t="s">
        <v>102</v>
      </c>
    </row>
    <row r="363" spans="2:12" ht="72">
      <c r="B363" s="764" t="s">
        <v>198</v>
      </c>
      <c r="C363" s="764" t="s">
        <v>44</v>
      </c>
      <c r="D363" s="764" t="s">
        <v>208</v>
      </c>
      <c r="E363" s="764" t="s">
        <v>206</v>
      </c>
      <c r="F363" s="775">
        <v>2020</v>
      </c>
      <c r="G363" s="764" t="s">
        <v>202</v>
      </c>
      <c r="H363" s="765" cm="1">
        <f t="array" ref="H363">_xlfn.XLOOKUP(E363&amp;F363&amp;G363,'2.2 Perdidas por T&amp;D'!$B$12:$B$140&amp;'2.2 Perdidas por T&amp;D'!$C$12:$C$140&amp;'2.2 Perdidas por T&amp;D'!$D$12:$D$140,'2.2 Perdidas por T&amp;D'!$E$12:$E$140,"-")</f>
        <v>3.3031500000000005E-2</v>
      </c>
      <c r="I363" s="764" t="str" cm="1">
        <f t="array" ref="I363">_xlfn.XLOOKUP(E363&amp;F363&amp;G363,'2.2 Perdidas por T&amp;D'!$B$12:$B$140&amp;'2.2 Perdidas por T&amp;D'!$C$12:$C$140&amp;'2.2 Perdidas por T&amp;D'!$D$12:$D$140,'2.2 Perdidas por T&amp;D'!$F$12:$F$140,"-")</f>
        <v>kgCO2e/kWh</v>
      </c>
      <c r="J363" s="764" t="str" cm="1">
        <f t="array" ref="J363">_xlfn.XLOOKUP(E363&amp;F363&amp;G363,'2.2 Perdidas por T&amp;D'!$B$12:$B$140&amp;'2.2 Perdidas por T&amp;D'!$C$12:$C$140&amp;'2.2 Perdidas por T&amp;D'!$D$12:$D$140,'2.2 Perdidas por T&amp;D'!$G$12:$G$140,"-")</f>
        <v>Base de Información de Eficiencia Energética - CEPAL- Enerdata, 2018 (https://biee-cepal.enerdata.net/es/datamapper/rate-of-electricity-t&amp;d-losses.html)</v>
      </c>
      <c r="K363" s="764" t="s">
        <v>102</v>
      </c>
      <c r="L363" s="768" t="s">
        <v>102</v>
      </c>
    </row>
    <row r="364" spans="2:12" ht="72">
      <c r="B364" s="764" t="s">
        <v>198</v>
      </c>
      <c r="C364" s="764" t="s">
        <v>44</v>
      </c>
      <c r="D364" s="764" t="s">
        <v>208</v>
      </c>
      <c r="E364" s="764" t="s">
        <v>206</v>
      </c>
      <c r="F364" s="775">
        <v>2021</v>
      </c>
      <c r="G364" s="764" t="s">
        <v>200</v>
      </c>
      <c r="H364" s="765" cm="1">
        <f t="array" ref="H364">_xlfn.XLOOKUP(E364&amp;F364&amp;G364,'2.2 Perdidas por T&amp;D'!$B$12:$B$140&amp;'2.2 Perdidas por T&amp;D'!$C$12:$C$140&amp;'2.2 Perdidas por T&amp;D'!$D$12:$D$140,'2.2 Perdidas por T&amp;D'!$E$12:$E$140,"-")</f>
        <v>31.763250000000003</v>
      </c>
      <c r="I364" s="764" t="str" cm="1">
        <f t="array" ref="I364">_xlfn.XLOOKUP(E364&amp;F364&amp;G364,'2.2 Perdidas por T&amp;D'!$B$12:$B$140&amp;'2.2 Perdidas por T&amp;D'!$C$12:$C$140&amp;'2.2 Perdidas por T&amp;D'!$D$12:$D$140,'2.2 Perdidas por T&amp;D'!$F$12:$F$140,"-")</f>
        <v>kgCO2e/MWh</v>
      </c>
      <c r="J364" s="764" t="str" cm="1">
        <f t="array" ref="J364">_xlfn.XLOOKUP(E364&amp;F364&amp;G364,'2.2 Perdidas por T&amp;D'!$B$12:$B$140&amp;'2.2 Perdidas por T&amp;D'!$C$12:$C$140&amp;'2.2 Perdidas por T&amp;D'!$D$12:$D$140,'2.2 Perdidas por T&amp;D'!$G$12:$G$140,"-")</f>
        <v>Base de Información de Eficiencia Energética - CEPAL- Enerdata, 2018 (https://biee-cepal.enerdata.net/es/datamapper/rate-of-electricity-t&amp;d-losses.html)</v>
      </c>
      <c r="K364" s="764" t="s">
        <v>102</v>
      </c>
      <c r="L364" s="768" t="s">
        <v>102</v>
      </c>
    </row>
    <row r="365" spans="2:12" ht="72">
      <c r="B365" s="764" t="s">
        <v>198</v>
      </c>
      <c r="C365" s="764" t="s">
        <v>44</v>
      </c>
      <c r="D365" s="764" t="s">
        <v>208</v>
      </c>
      <c r="E365" s="764" t="s">
        <v>206</v>
      </c>
      <c r="F365" s="775">
        <v>2021</v>
      </c>
      <c r="G365" s="764" t="s">
        <v>201</v>
      </c>
      <c r="H365" s="765" cm="1">
        <f t="array" ref="H365">_xlfn.XLOOKUP(E365&amp;F365&amp;G365,'2.2 Perdidas por T&amp;D'!$B$12:$B$140&amp;'2.2 Perdidas por T&amp;D'!$C$12:$C$140&amp;'2.2 Perdidas por T&amp;D'!$D$12:$D$140,'2.2 Perdidas por T&amp;D'!$E$12:$E$140,"-")</f>
        <v>31763.25</v>
      </c>
      <c r="I365" s="764" t="str" cm="1">
        <f t="array" ref="I365">_xlfn.XLOOKUP(E365&amp;F365&amp;G365,'2.2 Perdidas por T&amp;D'!$B$12:$B$140&amp;'2.2 Perdidas por T&amp;D'!$C$12:$C$140&amp;'2.2 Perdidas por T&amp;D'!$D$12:$D$140,'2.2 Perdidas por T&amp;D'!$F$12:$F$140,"-")</f>
        <v>kgCO2e/GWh</v>
      </c>
      <c r="J365" s="764" t="str" cm="1">
        <f t="array" ref="J365">_xlfn.XLOOKUP(E365&amp;F365&amp;G365,'2.2 Perdidas por T&amp;D'!$B$12:$B$140&amp;'2.2 Perdidas por T&amp;D'!$C$12:$C$140&amp;'2.2 Perdidas por T&amp;D'!$D$12:$D$140,'2.2 Perdidas por T&amp;D'!$G$12:$G$140,"-")</f>
        <v>Base de Información de Eficiencia Energética - CEPAL- Enerdata, 2018 (https://biee-cepal.enerdata.net/es/datamapper/rate-of-electricity-t&amp;d-losses.html)</v>
      </c>
      <c r="K365" s="764" t="s">
        <v>102</v>
      </c>
      <c r="L365" s="768" t="s">
        <v>102</v>
      </c>
    </row>
    <row r="366" spans="2:12" ht="72">
      <c r="B366" s="764" t="s">
        <v>198</v>
      </c>
      <c r="C366" s="764" t="s">
        <v>44</v>
      </c>
      <c r="D366" s="764" t="s">
        <v>208</v>
      </c>
      <c r="E366" s="764" t="s">
        <v>206</v>
      </c>
      <c r="F366" s="775">
        <v>2021</v>
      </c>
      <c r="G366" s="764" t="s">
        <v>202</v>
      </c>
      <c r="H366" s="765" cm="1">
        <f t="array" ref="H366">_xlfn.XLOOKUP(E366&amp;F366&amp;G366,'2.2 Perdidas por T&amp;D'!$B$12:$B$140&amp;'2.2 Perdidas por T&amp;D'!$C$12:$C$140&amp;'2.2 Perdidas por T&amp;D'!$D$12:$D$140,'2.2 Perdidas por T&amp;D'!$E$12:$E$140,"-")</f>
        <v>3.176325E-2</v>
      </c>
      <c r="I366" s="764" t="str" cm="1">
        <f t="array" ref="I366">_xlfn.XLOOKUP(E366&amp;F366&amp;G366,'2.2 Perdidas por T&amp;D'!$B$12:$B$140&amp;'2.2 Perdidas por T&amp;D'!$C$12:$C$140&amp;'2.2 Perdidas por T&amp;D'!$D$12:$D$140,'2.2 Perdidas por T&amp;D'!$F$12:$F$140,"-")</f>
        <v>kgCO2e/kWh</v>
      </c>
      <c r="J366" s="764" t="str" cm="1">
        <f t="array" ref="J366">_xlfn.XLOOKUP(E366&amp;F366&amp;G366,'2.2 Perdidas por T&amp;D'!$B$12:$B$140&amp;'2.2 Perdidas por T&amp;D'!$C$12:$C$140&amp;'2.2 Perdidas por T&amp;D'!$D$12:$D$140,'2.2 Perdidas por T&amp;D'!$G$12:$G$140,"-")</f>
        <v>Base de Información de Eficiencia Energética - CEPAL- Enerdata, 2018 (https://biee-cepal.enerdata.net/es/datamapper/rate-of-electricity-t&amp;d-losses.html)</v>
      </c>
      <c r="K366" s="764" t="s">
        <v>102</v>
      </c>
      <c r="L366" s="768" t="s">
        <v>102</v>
      </c>
    </row>
    <row r="367" spans="2:12" ht="72">
      <c r="B367" s="764" t="s">
        <v>198</v>
      </c>
      <c r="C367" s="764" t="s">
        <v>44</v>
      </c>
      <c r="D367" s="764" t="s">
        <v>208</v>
      </c>
      <c r="E367" s="764" t="s">
        <v>206</v>
      </c>
      <c r="F367" s="775">
        <v>2022</v>
      </c>
      <c r="G367" s="764" t="s">
        <v>200</v>
      </c>
      <c r="H367" s="765" cm="1">
        <f t="array" ref="H367">_xlfn.XLOOKUP(E367&amp;F367&amp;G367,'2.2 Perdidas por T&amp;D'!$B$12:$B$140&amp;'2.2 Perdidas por T&amp;D'!$C$12:$C$140&amp;'2.2 Perdidas por T&amp;D'!$D$12:$D$140,'2.2 Perdidas por T&amp;D'!$E$12:$E$140,"-")</f>
        <v>32.076750000000004</v>
      </c>
      <c r="I367" s="764" t="str" cm="1">
        <f t="array" ref="I367">_xlfn.XLOOKUP(E367&amp;F367&amp;G367,'2.2 Perdidas por T&amp;D'!$B$12:$B$140&amp;'2.2 Perdidas por T&amp;D'!$C$12:$C$140&amp;'2.2 Perdidas por T&amp;D'!$D$12:$D$140,'2.2 Perdidas por T&amp;D'!$F$12:$F$140,"-")</f>
        <v>kgCO2e/MWh</v>
      </c>
      <c r="J367" s="764" t="str" cm="1">
        <f t="array" ref="J367">_xlfn.XLOOKUP(E367&amp;F367&amp;G367,'2.2 Perdidas por T&amp;D'!$B$12:$B$140&amp;'2.2 Perdidas por T&amp;D'!$C$12:$C$140&amp;'2.2 Perdidas por T&amp;D'!$D$12:$D$140,'2.2 Perdidas por T&amp;D'!$G$12:$G$140,"-")</f>
        <v>Base de Información de Eficiencia Energética - CEPAL- Enerdata, 2018 (https://biee-cepal.enerdata.net/es/datamapper/rate-of-electricity-t&amp;d-losses.html)</v>
      </c>
      <c r="K367" s="764" t="s">
        <v>102</v>
      </c>
      <c r="L367" s="768" t="s">
        <v>102</v>
      </c>
    </row>
    <row r="368" spans="2:12" ht="72">
      <c r="B368" s="764" t="s">
        <v>198</v>
      </c>
      <c r="C368" s="764" t="s">
        <v>44</v>
      </c>
      <c r="D368" s="764" t="s">
        <v>208</v>
      </c>
      <c r="E368" s="764" t="s">
        <v>206</v>
      </c>
      <c r="F368" s="775">
        <v>2022</v>
      </c>
      <c r="G368" s="764" t="s">
        <v>201</v>
      </c>
      <c r="H368" s="765" cm="1">
        <f t="array" ref="H368">_xlfn.XLOOKUP(E368&amp;F368&amp;G368,'2.2 Perdidas por T&amp;D'!$B$12:$B$140&amp;'2.2 Perdidas por T&amp;D'!$C$12:$C$140&amp;'2.2 Perdidas por T&amp;D'!$D$12:$D$140,'2.2 Perdidas por T&amp;D'!$E$12:$E$140,"-")</f>
        <v>32076.75</v>
      </c>
      <c r="I368" s="764" t="str" cm="1">
        <f t="array" ref="I368">_xlfn.XLOOKUP(E368&amp;F368&amp;G368,'2.2 Perdidas por T&amp;D'!$B$12:$B$140&amp;'2.2 Perdidas por T&amp;D'!$C$12:$C$140&amp;'2.2 Perdidas por T&amp;D'!$D$12:$D$140,'2.2 Perdidas por T&amp;D'!$F$12:$F$140,"-")</f>
        <v>kgCO2e/GWh</v>
      </c>
      <c r="J368" s="764" t="str" cm="1">
        <f t="array" ref="J368">_xlfn.XLOOKUP(E368&amp;F368&amp;G368,'2.2 Perdidas por T&amp;D'!$B$12:$B$140&amp;'2.2 Perdidas por T&amp;D'!$C$12:$C$140&amp;'2.2 Perdidas por T&amp;D'!$D$12:$D$140,'2.2 Perdidas por T&amp;D'!$G$12:$G$140,"-")</f>
        <v>Base de Información de Eficiencia Energética - CEPAL- Enerdata, 2018 (https://biee-cepal.enerdata.net/es/datamapper/rate-of-electricity-t&amp;d-losses.html)</v>
      </c>
      <c r="K368" s="764" t="s">
        <v>102</v>
      </c>
      <c r="L368" s="768" t="s">
        <v>102</v>
      </c>
    </row>
    <row r="369" spans="2:12" ht="72">
      <c r="B369" s="764" t="s">
        <v>198</v>
      </c>
      <c r="C369" s="764" t="s">
        <v>44</v>
      </c>
      <c r="D369" s="764" t="s">
        <v>208</v>
      </c>
      <c r="E369" s="764" t="s">
        <v>206</v>
      </c>
      <c r="F369" s="775">
        <v>2022</v>
      </c>
      <c r="G369" s="764" t="s">
        <v>202</v>
      </c>
      <c r="H369" s="765" cm="1">
        <f t="array" ref="H369">_xlfn.XLOOKUP(E369&amp;F369&amp;G369,'2.2 Perdidas por T&amp;D'!$B$12:$B$140&amp;'2.2 Perdidas por T&amp;D'!$C$12:$C$140&amp;'2.2 Perdidas por T&amp;D'!$D$12:$D$140,'2.2 Perdidas por T&amp;D'!$E$12:$E$140,"-")</f>
        <v>3.2076750000000001E-2</v>
      </c>
      <c r="I369" s="764" t="str" cm="1">
        <f t="array" ref="I369">_xlfn.XLOOKUP(E369&amp;F369&amp;G369,'2.2 Perdidas por T&amp;D'!$B$12:$B$140&amp;'2.2 Perdidas por T&amp;D'!$C$12:$C$140&amp;'2.2 Perdidas por T&amp;D'!$D$12:$D$140,'2.2 Perdidas por T&amp;D'!$F$12:$F$140,"-")</f>
        <v>kgCO2e/kWh</v>
      </c>
      <c r="J369" s="764" t="str" cm="1">
        <f t="array" ref="J369">_xlfn.XLOOKUP(E369&amp;F369&amp;G369,'2.2 Perdidas por T&amp;D'!$B$12:$B$140&amp;'2.2 Perdidas por T&amp;D'!$C$12:$C$140&amp;'2.2 Perdidas por T&amp;D'!$D$12:$D$140,'2.2 Perdidas por T&amp;D'!$G$12:$G$140,"-")</f>
        <v>Base de Información de Eficiencia Energética - CEPAL- Enerdata, 2018 (https://biee-cepal.enerdata.net/es/datamapper/rate-of-electricity-t&amp;d-losses.html)</v>
      </c>
      <c r="K369" s="764" t="s">
        <v>102</v>
      </c>
      <c r="L369" s="768" t="s">
        <v>102</v>
      </c>
    </row>
    <row r="370" spans="2:12" ht="72">
      <c r="B370" s="764" t="s">
        <v>198</v>
      </c>
      <c r="C370" s="764" t="s">
        <v>44</v>
      </c>
      <c r="D370" s="764" t="s">
        <v>208</v>
      </c>
      <c r="E370" s="764" t="s">
        <v>206</v>
      </c>
      <c r="F370" s="775">
        <v>2023</v>
      </c>
      <c r="G370" s="764" t="s">
        <v>200</v>
      </c>
      <c r="H370" s="765" cm="1">
        <f t="array" ref="H370">_xlfn.XLOOKUP(E370&amp;F370&amp;G370,'2.2 Perdidas por T&amp;D'!$B$12:$B$140&amp;'2.2 Perdidas por T&amp;D'!$C$12:$C$140&amp;'2.2 Perdidas por T&amp;D'!$D$12:$D$140,'2.2 Perdidas por T&amp;D'!$E$12:$E$140,"-")</f>
        <v>33.791499810000005</v>
      </c>
      <c r="I370" s="764" t="str" cm="1">
        <f t="array" ref="I370">_xlfn.XLOOKUP(E370&amp;F370&amp;G370,'2.2 Perdidas por T&amp;D'!$B$12:$B$140&amp;'2.2 Perdidas por T&amp;D'!$C$12:$C$140&amp;'2.2 Perdidas por T&amp;D'!$D$12:$D$140,'2.2 Perdidas por T&amp;D'!$F$12:$F$140,"-")</f>
        <v>kgCO2e/MWh</v>
      </c>
      <c r="J370" s="764" t="str" cm="1">
        <f t="array" ref="J370">_xlfn.XLOOKUP(E370&amp;F370&amp;G370,'2.2 Perdidas por T&amp;D'!$B$12:$B$140&amp;'2.2 Perdidas por T&amp;D'!$C$12:$C$140&amp;'2.2 Perdidas por T&amp;D'!$D$12:$D$140,'2.2 Perdidas por T&amp;D'!$G$12:$G$140,"-")</f>
        <v>Base de Información de Eficiencia Energética - CEPAL- Enerdata, 2018 (https://biee-cepal.enerdata.net/es/datamapper/rate-of-electricity-t&amp;d-losses.html)</v>
      </c>
      <c r="K370" s="764" t="s">
        <v>102</v>
      </c>
      <c r="L370" s="768" t="s">
        <v>102</v>
      </c>
    </row>
    <row r="371" spans="2:12" ht="72">
      <c r="B371" s="764" t="s">
        <v>198</v>
      </c>
      <c r="C371" s="764" t="s">
        <v>44</v>
      </c>
      <c r="D371" s="764" t="s">
        <v>208</v>
      </c>
      <c r="E371" s="764" t="s">
        <v>206</v>
      </c>
      <c r="F371" s="775">
        <v>2023</v>
      </c>
      <c r="G371" s="764" t="s">
        <v>201</v>
      </c>
      <c r="H371" s="765" cm="1">
        <f t="array" ref="H371">_xlfn.XLOOKUP(E371&amp;F371&amp;G371,'2.2 Perdidas por T&amp;D'!$B$12:$B$140&amp;'2.2 Perdidas por T&amp;D'!$C$12:$C$140&amp;'2.2 Perdidas por T&amp;D'!$D$12:$D$140,'2.2 Perdidas por T&amp;D'!$E$12:$E$140,"-")</f>
        <v>33791.499810000008</v>
      </c>
      <c r="I371" s="764" t="str" cm="1">
        <f t="array" ref="I371">_xlfn.XLOOKUP(E371&amp;F371&amp;G371,'2.2 Perdidas por T&amp;D'!$B$12:$B$140&amp;'2.2 Perdidas por T&amp;D'!$C$12:$C$140&amp;'2.2 Perdidas por T&amp;D'!$D$12:$D$140,'2.2 Perdidas por T&amp;D'!$F$12:$F$140,"-")</f>
        <v>kgCO2e/GWh</v>
      </c>
      <c r="J371" s="764" t="str" cm="1">
        <f t="array" ref="J371">_xlfn.XLOOKUP(E371&amp;F371&amp;G371,'2.2 Perdidas por T&amp;D'!$B$12:$B$140&amp;'2.2 Perdidas por T&amp;D'!$C$12:$C$140&amp;'2.2 Perdidas por T&amp;D'!$D$12:$D$140,'2.2 Perdidas por T&amp;D'!$G$12:$G$140,"-")</f>
        <v>Base de Información de Eficiencia Energética - CEPAL- Enerdata, 2018 (https://biee-cepal.enerdata.net/es/datamapper/rate-of-electricity-t&amp;d-losses.html)</v>
      </c>
      <c r="K371" s="764" t="s">
        <v>102</v>
      </c>
      <c r="L371" s="768" t="s">
        <v>102</v>
      </c>
    </row>
    <row r="372" spans="2:12" ht="72">
      <c r="B372" s="764" t="s">
        <v>198</v>
      </c>
      <c r="C372" s="764" t="s">
        <v>44</v>
      </c>
      <c r="D372" s="764" t="s">
        <v>208</v>
      </c>
      <c r="E372" s="764" t="s">
        <v>206</v>
      </c>
      <c r="F372" s="775">
        <v>2023</v>
      </c>
      <c r="G372" s="764" t="s">
        <v>202</v>
      </c>
      <c r="H372" s="765" cm="1">
        <f t="array" ref="H372">_xlfn.XLOOKUP(E372&amp;F372&amp;G372,'2.2 Perdidas por T&amp;D'!$B$12:$B$140&amp;'2.2 Perdidas por T&amp;D'!$C$12:$C$140&amp;'2.2 Perdidas por T&amp;D'!$D$12:$D$140,'2.2 Perdidas por T&amp;D'!$E$12:$E$140,"-")</f>
        <v>3.3791499810000007E-2</v>
      </c>
      <c r="I372" s="764" t="str" cm="1">
        <f t="array" ref="I372">_xlfn.XLOOKUP(E372&amp;F372&amp;G372,'2.2 Perdidas por T&amp;D'!$B$12:$B$140&amp;'2.2 Perdidas por T&amp;D'!$C$12:$C$140&amp;'2.2 Perdidas por T&amp;D'!$D$12:$D$140,'2.2 Perdidas por T&amp;D'!$F$12:$F$140,"-")</f>
        <v>kgCO2e/kWh</v>
      </c>
      <c r="J372" s="764" t="str" cm="1">
        <f t="array" ref="J372">_xlfn.XLOOKUP(E372&amp;F372&amp;G372,'2.2 Perdidas por T&amp;D'!$B$12:$B$140&amp;'2.2 Perdidas por T&amp;D'!$C$12:$C$140&amp;'2.2 Perdidas por T&amp;D'!$D$12:$D$140,'2.2 Perdidas por T&amp;D'!$G$12:$G$140,"-")</f>
        <v>Base de Información de Eficiencia Energética - CEPAL- Enerdata, 2018 (https://biee-cepal.enerdata.net/es/datamapper/rate-of-electricity-t&amp;d-losses.html)</v>
      </c>
      <c r="K372" s="764" t="s">
        <v>102</v>
      </c>
      <c r="L372" s="768" t="s">
        <v>102</v>
      </c>
    </row>
    <row r="373" spans="2:12" ht="72">
      <c r="B373" s="764" t="s">
        <v>198</v>
      </c>
      <c r="C373" s="764" t="s">
        <v>44</v>
      </c>
      <c r="D373" s="764" t="s">
        <v>208</v>
      </c>
      <c r="E373" s="764" t="s">
        <v>206</v>
      </c>
      <c r="F373" s="775">
        <v>2024</v>
      </c>
      <c r="G373" s="764" t="s">
        <v>200</v>
      </c>
      <c r="H373" s="765" t="str" cm="1">
        <f t="array" ref="H373">_xlfn.XLOOKUP(E373&amp;F373&amp;G373,'2.2 Perdidas por T&amp;D'!$B$12:$B$140&amp;'2.2 Perdidas por T&amp;D'!$C$12:$C$140&amp;'2.2 Perdidas por T&amp;D'!$D$12:$D$140,'2.2 Perdidas por T&amp;D'!$E$12:$E$140,"-")</f>
        <v>PENDIENTE</v>
      </c>
      <c r="I373" s="764" t="str" cm="1">
        <f t="array" ref="I373">_xlfn.XLOOKUP(E373&amp;F373&amp;G373,'2.2 Perdidas por T&amp;D'!$B$12:$B$140&amp;'2.2 Perdidas por T&amp;D'!$C$12:$C$140&amp;'2.2 Perdidas por T&amp;D'!$D$12:$D$140,'2.2 Perdidas por T&amp;D'!$F$12:$F$140,"-")</f>
        <v>kgCO2e/MWh</v>
      </c>
      <c r="J373" s="764" t="str" cm="1">
        <f t="array" ref="J373">_xlfn.XLOOKUP(E373&amp;F373&amp;G373,'2.2 Perdidas por T&amp;D'!$B$12:$B$140&amp;'2.2 Perdidas por T&amp;D'!$C$12:$C$140&amp;'2.2 Perdidas por T&amp;D'!$D$12:$D$140,'2.2 Perdidas por T&amp;D'!$G$12:$G$140,"-")</f>
        <v>Base de Información de Eficiencia Energética - CEPAL- Enerdata, 2018 (https://biee-cepal.enerdata.net/es/datamapper/rate-of-electricity-t&amp;d-losses.html)</v>
      </c>
      <c r="K373" s="764" t="s">
        <v>102</v>
      </c>
      <c r="L373" s="768" t="s">
        <v>102</v>
      </c>
    </row>
    <row r="374" spans="2:12" ht="72">
      <c r="B374" s="764" t="s">
        <v>198</v>
      </c>
      <c r="C374" s="764" t="s">
        <v>44</v>
      </c>
      <c r="D374" s="764" t="s">
        <v>208</v>
      </c>
      <c r="E374" s="764" t="s">
        <v>206</v>
      </c>
      <c r="F374" s="775">
        <v>2024</v>
      </c>
      <c r="G374" s="764" t="s">
        <v>201</v>
      </c>
      <c r="H374" s="765" t="str" cm="1">
        <f t="array" ref="H374">_xlfn.XLOOKUP(E374&amp;F374&amp;G374,'2.2 Perdidas por T&amp;D'!$B$12:$B$140&amp;'2.2 Perdidas por T&amp;D'!$C$12:$C$140&amp;'2.2 Perdidas por T&amp;D'!$D$12:$D$140,'2.2 Perdidas por T&amp;D'!$E$12:$E$140,"-")</f>
        <v>PENDIENTE</v>
      </c>
      <c r="I374" s="764" t="str" cm="1">
        <f t="array" ref="I374">_xlfn.XLOOKUP(E374&amp;F374&amp;G374,'2.2 Perdidas por T&amp;D'!$B$12:$B$140&amp;'2.2 Perdidas por T&amp;D'!$C$12:$C$140&amp;'2.2 Perdidas por T&amp;D'!$D$12:$D$140,'2.2 Perdidas por T&amp;D'!$F$12:$F$140,"-")</f>
        <v>kgCO2e/GWh</v>
      </c>
      <c r="J374" s="764" t="str" cm="1">
        <f t="array" ref="J374">_xlfn.XLOOKUP(E374&amp;F374&amp;G374,'2.2 Perdidas por T&amp;D'!$B$12:$B$140&amp;'2.2 Perdidas por T&amp;D'!$C$12:$C$140&amp;'2.2 Perdidas por T&amp;D'!$D$12:$D$140,'2.2 Perdidas por T&amp;D'!$G$12:$G$140,"-")</f>
        <v>Base de Información de Eficiencia Energética - CEPAL- Enerdata, 2018 (https://biee-cepal.enerdata.net/es/datamapper/rate-of-electricity-t&amp;d-losses.html)</v>
      </c>
      <c r="K374" s="764" t="s">
        <v>102</v>
      </c>
      <c r="L374" s="768" t="s">
        <v>102</v>
      </c>
    </row>
    <row r="375" spans="2:12" ht="72">
      <c r="B375" s="764" t="s">
        <v>198</v>
      </c>
      <c r="C375" s="764" t="s">
        <v>44</v>
      </c>
      <c r="D375" s="764" t="s">
        <v>208</v>
      </c>
      <c r="E375" s="764" t="s">
        <v>206</v>
      </c>
      <c r="F375" s="775">
        <v>2024</v>
      </c>
      <c r="G375" s="764" t="s">
        <v>202</v>
      </c>
      <c r="H375" s="765" t="str" cm="1">
        <f t="array" ref="H375">_xlfn.XLOOKUP(E375&amp;F375&amp;G375,'2.2 Perdidas por T&amp;D'!$B$12:$B$140&amp;'2.2 Perdidas por T&amp;D'!$C$12:$C$140&amp;'2.2 Perdidas por T&amp;D'!$D$12:$D$140,'2.2 Perdidas por T&amp;D'!$E$12:$E$140,"-")</f>
        <v>PENDIENTE</v>
      </c>
      <c r="I375" s="764" t="str" cm="1">
        <f t="array" ref="I375">_xlfn.XLOOKUP(E375&amp;F375&amp;G375,'2.2 Perdidas por T&amp;D'!$B$12:$B$140&amp;'2.2 Perdidas por T&amp;D'!$C$12:$C$140&amp;'2.2 Perdidas por T&amp;D'!$D$12:$D$140,'2.2 Perdidas por T&amp;D'!$F$12:$F$140,"-")</f>
        <v>kgCO2e/kWh</v>
      </c>
      <c r="J375" s="764" t="str" cm="1">
        <f t="array" ref="J375">_xlfn.XLOOKUP(E375&amp;F375&amp;G375,'2.2 Perdidas por T&amp;D'!$B$12:$B$140&amp;'2.2 Perdidas por T&amp;D'!$C$12:$C$140&amp;'2.2 Perdidas por T&amp;D'!$D$12:$D$140,'2.2 Perdidas por T&amp;D'!$G$12:$G$140,"-")</f>
        <v>Base de Información de Eficiencia Energética - CEPAL- Enerdata, 2018 (https://biee-cepal.enerdata.net/es/datamapper/rate-of-electricity-t&amp;d-losses.html)</v>
      </c>
      <c r="K375" s="764" t="s">
        <v>102</v>
      </c>
      <c r="L375" s="768" t="s">
        <v>102</v>
      </c>
    </row>
    <row r="376" spans="2:12" ht="72">
      <c r="B376" s="764" t="s">
        <v>198</v>
      </c>
      <c r="C376" s="764" t="s">
        <v>44</v>
      </c>
      <c r="D376" s="764" t="s">
        <v>208</v>
      </c>
      <c r="E376" s="764" t="s">
        <v>207</v>
      </c>
      <c r="F376" s="775">
        <v>2015</v>
      </c>
      <c r="G376" s="764" t="s">
        <v>200</v>
      </c>
      <c r="H376" s="765" cm="1">
        <f t="array" ref="H376">_xlfn.XLOOKUP(E376&amp;F376&amp;G376,'2.2 Perdidas por T&amp;D'!$B$12:$B$140&amp;'2.2 Perdidas por T&amp;D'!$C$12:$C$140&amp;'2.2 Perdidas por T&amp;D'!$D$12:$D$140,'2.2 Perdidas por T&amp;D'!$E$12:$E$140,"-")</f>
        <v>35.283000000000001</v>
      </c>
      <c r="I376" s="764" t="str" cm="1">
        <f t="array" ref="I376">_xlfn.XLOOKUP(E376&amp;F376&amp;G376,'2.2 Perdidas por T&amp;D'!$B$12:$B$140&amp;'2.2 Perdidas por T&amp;D'!$C$12:$C$140&amp;'2.2 Perdidas por T&amp;D'!$D$12:$D$140,'2.2 Perdidas por T&amp;D'!$F$12:$F$140,"-")</f>
        <v>kgCO2e/MWh</v>
      </c>
      <c r="J376" s="764" t="str" cm="1">
        <f t="array" ref="J376">_xlfn.XLOOKUP(E376&amp;F376&amp;G376,'2.2 Perdidas por T&amp;D'!$B$12:$B$140&amp;'2.2 Perdidas por T&amp;D'!$C$12:$C$140&amp;'2.2 Perdidas por T&amp;D'!$D$12:$D$140,'2.2 Perdidas por T&amp;D'!$G$12:$G$140,"-")</f>
        <v>Base de Información de Eficiencia Energética - CEPAL- Enerdata, 2018 (https://biee-cepal.enerdata.net/es/datamapper/rate-of-electricity-t&amp;d-losses.html)</v>
      </c>
      <c r="K376" s="764" t="s">
        <v>102</v>
      </c>
      <c r="L376" s="768" t="s">
        <v>102</v>
      </c>
    </row>
    <row r="377" spans="2:12" ht="72">
      <c r="B377" s="764" t="s">
        <v>198</v>
      </c>
      <c r="C377" s="764" t="s">
        <v>44</v>
      </c>
      <c r="D377" s="764" t="s">
        <v>208</v>
      </c>
      <c r="E377" s="764" t="s">
        <v>207</v>
      </c>
      <c r="F377" s="775">
        <v>2015</v>
      </c>
      <c r="G377" s="764" t="s">
        <v>201</v>
      </c>
      <c r="H377" s="765" cm="1">
        <f t="array" ref="H377">_xlfn.XLOOKUP(E377&amp;F377&amp;G377,'2.2 Perdidas por T&amp;D'!$B$12:$B$140&amp;'2.2 Perdidas por T&amp;D'!$C$12:$C$140&amp;'2.2 Perdidas por T&amp;D'!$D$12:$D$140,'2.2 Perdidas por T&amp;D'!$E$12:$E$140,"-")</f>
        <v>35283</v>
      </c>
      <c r="I377" s="764" t="str" cm="1">
        <f t="array" ref="I377">_xlfn.XLOOKUP(E377&amp;F377&amp;G377,'2.2 Perdidas por T&amp;D'!$B$12:$B$140&amp;'2.2 Perdidas por T&amp;D'!$C$12:$C$140&amp;'2.2 Perdidas por T&amp;D'!$D$12:$D$140,'2.2 Perdidas por T&amp;D'!$F$12:$F$140,"-")</f>
        <v>kgCO2e/GWh</v>
      </c>
      <c r="J377" s="764" t="str" cm="1">
        <f t="array" ref="J377">_xlfn.XLOOKUP(E377&amp;F377&amp;G377,'2.2 Perdidas por T&amp;D'!$B$12:$B$140&amp;'2.2 Perdidas por T&amp;D'!$C$12:$C$140&amp;'2.2 Perdidas por T&amp;D'!$D$12:$D$140,'2.2 Perdidas por T&amp;D'!$G$12:$G$140,"-")</f>
        <v>Base de Información de Eficiencia Energética - CEPAL- Enerdata, 2018 (https://biee-cepal.enerdata.net/es/datamapper/rate-of-electricity-t&amp;d-losses.html)</v>
      </c>
      <c r="K377" s="764" t="s">
        <v>102</v>
      </c>
      <c r="L377" s="768" t="s">
        <v>102</v>
      </c>
    </row>
    <row r="378" spans="2:12" ht="72">
      <c r="B378" s="764" t="s">
        <v>198</v>
      </c>
      <c r="C378" s="764" t="s">
        <v>44</v>
      </c>
      <c r="D378" s="764" t="s">
        <v>208</v>
      </c>
      <c r="E378" s="764" t="s">
        <v>207</v>
      </c>
      <c r="F378" s="775">
        <v>2015</v>
      </c>
      <c r="G378" s="764" t="s">
        <v>202</v>
      </c>
      <c r="H378" s="765" cm="1">
        <f t="array" ref="H378">_xlfn.XLOOKUP(E378&amp;F378&amp;G378,'2.2 Perdidas por T&amp;D'!$B$12:$B$140&amp;'2.2 Perdidas por T&amp;D'!$C$12:$C$140&amp;'2.2 Perdidas por T&amp;D'!$D$12:$D$140,'2.2 Perdidas por T&amp;D'!$E$12:$E$140,"-")</f>
        <v>3.5283000000000002E-2</v>
      </c>
      <c r="I378" s="764" t="str" cm="1">
        <f t="array" ref="I378">_xlfn.XLOOKUP(E378&amp;F378&amp;G378,'2.2 Perdidas por T&amp;D'!$B$12:$B$140&amp;'2.2 Perdidas por T&amp;D'!$C$12:$C$140&amp;'2.2 Perdidas por T&amp;D'!$D$12:$D$140,'2.2 Perdidas por T&amp;D'!$F$12:$F$140,"-")</f>
        <v>kgCO2e/kWh</v>
      </c>
      <c r="J378" s="764" t="str" cm="1">
        <f t="array" ref="J378">_xlfn.XLOOKUP(E378&amp;F378&amp;G378,'2.2 Perdidas por T&amp;D'!$B$12:$B$140&amp;'2.2 Perdidas por T&amp;D'!$C$12:$C$140&amp;'2.2 Perdidas por T&amp;D'!$D$12:$D$140,'2.2 Perdidas por T&amp;D'!$G$12:$G$140,"-")</f>
        <v>Base de Información de Eficiencia Energética - CEPAL- Enerdata, 2018 (https://biee-cepal.enerdata.net/es/datamapper/rate-of-electricity-t&amp;d-losses.html)</v>
      </c>
      <c r="K378" s="764" t="s">
        <v>102</v>
      </c>
      <c r="L378" s="768" t="s">
        <v>102</v>
      </c>
    </row>
    <row r="379" spans="2:12" ht="72">
      <c r="B379" s="764" t="s">
        <v>198</v>
      </c>
      <c r="C379" s="764" t="s">
        <v>44</v>
      </c>
      <c r="D379" s="764" t="s">
        <v>208</v>
      </c>
      <c r="E379" s="764" t="s">
        <v>207</v>
      </c>
      <c r="F379" s="775">
        <v>2016</v>
      </c>
      <c r="G379" s="764" t="s">
        <v>200</v>
      </c>
      <c r="H379" s="765" cm="1">
        <f t="array" ref="H379">_xlfn.XLOOKUP(E379&amp;F379&amp;G379,'2.2 Perdidas por T&amp;D'!$B$12:$B$140&amp;'2.2 Perdidas por T&amp;D'!$C$12:$C$140&amp;'2.2 Perdidas por T&amp;D'!$D$12:$D$140,'2.2 Perdidas por T&amp;D'!$E$12:$E$140,"-")</f>
        <v>34.67975019</v>
      </c>
      <c r="I379" s="764" t="str" cm="1">
        <f t="array" ref="I379">_xlfn.XLOOKUP(E379&amp;F379&amp;G379,'2.2 Perdidas por T&amp;D'!$B$12:$B$140&amp;'2.2 Perdidas por T&amp;D'!$C$12:$C$140&amp;'2.2 Perdidas por T&amp;D'!$D$12:$D$140,'2.2 Perdidas por T&amp;D'!$F$12:$F$140,"-")</f>
        <v>kgCO2e/MWh</v>
      </c>
      <c r="J379" s="764" t="str" cm="1">
        <f t="array" ref="J379">_xlfn.XLOOKUP(E379&amp;F379&amp;G379,'2.2 Perdidas por T&amp;D'!$B$12:$B$140&amp;'2.2 Perdidas por T&amp;D'!$C$12:$C$140&amp;'2.2 Perdidas por T&amp;D'!$D$12:$D$140,'2.2 Perdidas por T&amp;D'!$G$12:$G$140,"-")</f>
        <v>Base de Información de Eficiencia Energética - CEPAL- Enerdata, 2018 (https://biee-cepal.enerdata.net/es/datamapper/rate-of-electricity-t&amp;d-losses.html)</v>
      </c>
      <c r="K379" s="764" t="s">
        <v>102</v>
      </c>
      <c r="L379" s="768" t="s">
        <v>102</v>
      </c>
    </row>
    <row r="380" spans="2:12" ht="72">
      <c r="B380" s="764" t="s">
        <v>198</v>
      </c>
      <c r="C380" s="764" t="s">
        <v>44</v>
      </c>
      <c r="D380" s="764" t="s">
        <v>208</v>
      </c>
      <c r="E380" s="764" t="s">
        <v>207</v>
      </c>
      <c r="F380" s="775">
        <v>2016</v>
      </c>
      <c r="G380" s="764" t="s">
        <v>201</v>
      </c>
      <c r="H380" s="765" cm="1">
        <f t="array" ref="H380">_xlfn.XLOOKUP(E380&amp;F380&amp;G380,'2.2 Perdidas por T&amp;D'!$B$12:$B$140&amp;'2.2 Perdidas por T&amp;D'!$C$12:$C$140&amp;'2.2 Perdidas por T&amp;D'!$D$12:$D$140,'2.2 Perdidas por T&amp;D'!$E$12:$E$140,"-")</f>
        <v>34679.750189999999</v>
      </c>
      <c r="I380" s="764" t="str" cm="1">
        <f t="array" ref="I380">_xlfn.XLOOKUP(E380&amp;F380&amp;G380,'2.2 Perdidas por T&amp;D'!$B$12:$B$140&amp;'2.2 Perdidas por T&amp;D'!$C$12:$C$140&amp;'2.2 Perdidas por T&amp;D'!$D$12:$D$140,'2.2 Perdidas por T&amp;D'!$F$12:$F$140,"-")</f>
        <v>kgCO2e/GWh</v>
      </c>
      <c r="J380" s="764" t="str" cm="1">
        <f t="array" ref="J380">_xlfn.XLOOKUP(E380&amp;F380&amp;G380,'2.2 Perdidas por T&amp;D'!$B$12:$B$140&amp;'2.2 Perdidas por T&amp;D'!$C$12:$C$140&amp;'2.2 Perdidas por T&amp;D'!$D$12:$D$140,'2.2 Perdidas por T&amp;D'!$G$12:$G$140,"-")</f>
        <v>Base de Información de Eficiencia Energética - CEPAL- Enerdata, 2018 (https://biee-cepal.enerdata.net/es/datamapper/rate-of-electricity-t&amp;d-losses.html)</v>
      </c>
      <c r="K380" s="764" t="s">
        <v>102</v>
      </c>
      <c r="L380" s="768" t="s">
        <v>102</v>
      </c>
    </row>
    <row r="381" spans="2:12" ht="72">
      <c r="B381" s="764" t="s">
        <v>198</v>
      </c>
      <c r="C381" s="764" t="s">
        <v>44</v>
      </c>
      <c r="D381" s="764" t="s">
        <v>208</v>
      </c>
      <c r="E381" s="764" t="s">
        <v>207</v>
      </c>
      <c r="F381" s="775">
        <v>2016</v>
      </c>
      <c r="G381" s="764" t="s">
        <v>202</v>
      </c>
      <c r="H381" s="765" cm="1">
        <f t="array" ref="H381">_xlfn.XLOOKUP(E381&amp;F381&amp;G381,'2.2 Perdidas por T&amp;D'!$B$12:$B$140&amp;'2.2 Perdidas por T&amp;D'!$C$12:$C$140&amp;'2.2 Perdidas por T&amp;D'!$D$12:$D$140,'2.2 Perdidas por T&amp;D'!$E$12:$E$140,"-")</f>
        <v>3.4679750190000004E-2</v>
      </c>
      <c r="I381" s="764" t="str" cm="1">
        <f t="array" ref="I381">_xlfn.XLOOKUP(E381&amp;F381&amp;G381,'2.2 Perdidas por T&amp;D'!$B$12:$B$140&amp;'2.2 Perdidas por T&amp;D'!$C$12:$C$140&amp;'2.2 Perdidas por T&amp;D'!$D$12:$D$140,'2.2 Perdidas por T&amp;D'!$F$12:$F$140,"-")</f>
        <v>kgCO2e/kWh</v>
      </c>
      <c r="J381" s="764" t="str" cm="1">
        <f t="array" ref="J381">_xlfn.XLOOKUP(E381&amp;F381&amp;G381,'2.2 Perdidas por T&amp;D'!$B$12:$B$140&amp;'2.2 Perdidas por T&amp;D'!$C$12:$C$140&amp;'2.2 Perdidas por T&amp;D'!$D$12:$D$140,'2.2 Perdidas por T&amp;D'!$G$12:$G$140,"-")</f>
        <v>Base de Información de Eficiencia Energética - CEPAL- Enerdata, 2018 (https://biee-cepal.enerdata.net/es/datamapper/rate-of-electricity-t&amp;d-losses.html)</v>
      </c>
      <c r="K381" s="764" t="s">
        <v>102</v>
      </c>
      <c r="L381" s="768" t="s">
        <v>102</v>
      </c>
    </row>
    <row r="382" spans="2:12" ht="72">
      <c r="B382" s="764" t="s">
        <v>198</v>
      </c>
      <c r="C382" s="764" t="s">
        <v>44</v>
      </c>
      <c r="D382" s="764" t="s">
        <v>208</v>
      </c>
      <c r="E382" s="764" t="s">
        <v>207</v>
      </c>
      <c r="F382" s="775">
        <v>2017</v>
      </c>
      <c r="G382" s="764" t="s">
        <v>200</v>
      </c>
      <c r="H382" s="765" cm="1">
        <f t="array" ref="H382">_xlfn.XLOOKUP(E382&amp;F382&amp;G382,'2.2 Perdidas por T&amp;D'!$B$12:$B$140&amp;'2.2 Perdidas por T&amp;D'!$C$12:$C$140&amp;'2.2 Perdidas por T&amp;D'!$D$12:$D$140,'2.2 Perdidas por T&amp;D'!$E$12:$E$140,"-")</f>
        <v>31.753749810000002</v>
      </c>
      <c r="I382" s="764" t="str" cm="1">
        <f t="array" ref="I382">_xlfn.XLOOKUP(E382&amp;F382&amp;G382,'2.2 Perdidas por T&amp;D'!$B$12:$B$140&amp;'2.2 Perdidas por T&amp;D'!$C$12:$C$140&amp;'2.2 Perdidas por T&amp;D'!$D$12:$D$140,'2.2 Perdidas por T&amp;D'!$F$12:$F$140,"-")</f>
        <v>kgCO2e/MWh</v>
      </c>
      <c r="J382" s="764" t="str" cm="1">
        <f t="array" ref="J382">_xlfn.XLOOKUP(E382&amp;F382&amp;G382,'2.2 Perdidas por T&amp;D'!$B$12:$B$140&amp;'2.2 Perdidas por T&amp;D'!$C$12:$C$140&amp;'2.2 Perdidas por T&amp;D'!$D$12:$D$140,'2.2 Perdidas por T&amp;D'!$G$12:$G$140,"-")</f>
        <v>Base de Información de Eficiencia Energética - CEPAL- Enerdata, 2018 (https://biee-cepal.enerdata.net/es/datamapper/rate-of-electricity-t&amp;d-losses.html)</v>
      </c>
      <c r="K382" s="764" t="s">
        <v>102</v>
      </c>
      <c r="L382" s="768" t="s">
        <v>102</v>
      </c>
    </row>
    <row r="383" spans="2:12" ht="72">
      <c r="B383" s="764" t="s">
        <v>198</v>
      </c>
      <c r="C383" s="764" t="s">
        <v>44</v>
      </c>
      <c r="D383" s="764" t="s">
        <v>208</v>
      </c>
      <c r="E383" s="764" t="s">
        <v>207</v>
      </c>
      <c r="F383" s="775">
        <v>2017</v>
      </c>
      <c r="G383" s="764" t="s">
        <v>201</v>
      </c>
      <c r="H383" s="765" cm="1">
        <f t="array" ref="H383">_xlfn.XLOOKUP(E383&amp;F383&amp;G383,'2.2 Perdidas por T&amp;D'!$B$12:$B$140&amp;'2.2 Perdidas por T&amp;D'!$C$12:$C$140&amp;'2.2 Perdidas por T&amp;D'!$D$12:$D$140,'2.2 Perdidas por T&amp;D'!$E$12:$E$140,"-")</f>
        <v>31753.749810000005</v>
      </c>
      <c r="I383" s="764" t="str" cm="1">
        <f t="array" ref="I383">_xlfn.XLOOKUP(E383&amp;F383&amp;G383,'2.2 Perdidas por T&amp;D'!$B$12:$B$140&amp;'2.2 Perdidas por T&amp;D'!$C$12:$C$140&amp;'2.2 Perdidas por T&amp;D'!$D$12:$D$140,'2.2 Perdidas por T&amp;D'!$F$12:$F$140,"-")</f>
        <v>kgCO2e/GWh</v>
      </c>
      <c r="J383" s="764" t="str" cm="1">
        <f t="array" ref="J383">_xlfn.XLOOKUP(E383&amp;F383&amp;G383,'2.2 Perdidas por T&amp;D'!$B$12:$B$140&amp;'2.2 Perdidas por T&amp;D'!$C$12:$C$140&amp;'2.2 Perdidas por T&amp;D'!$D$12:$D$140,'2.2 Perdidas por T&amp;D'!$G$12:$G$140,"-")</f>
        <v>Base de Información de Eficiencia Energética - CEPAL- Enerdata, 2018 (https://biee-cepal.enerdata.net/es/datamapper/rate-of-electricity-t&amp;d-losses.html)</v>
      </c>
      <c r="K383" s="764" t="s">
        <v>102</v>
      </c>
      <c r="L383" s="768" t="s">
        <v>102</v>
      </c>
    </row>
    <row r="384" spans="2:12" ht="72">
      <c r="B384" s="764" t="s">
        <v>198</v>
      </c>
      <c r="C384" s="764" t="s">
        <v>44</v>
      </c>
      <c r="D384" s="764" t="s">
        <v>208</v>
      </c>
      <c r="E384" s="764" t="s">
        <v>207</v>
      </c>
      <c r="F384" s="775">
        <v>2017</v>
      </c>
      <c r="G384" s="764" t="s">
        <v>202</v>
      </c>
      <c r="H384" s="765" cm="1">
        <f t="array" ref="H384">_xlfn.XLOOKUP(E384&amp;F384&amp;G384,'2.2 Perdidas por T&amp;D'!$B$12:$B$140&amp;'2.2 Perdidas por T&amp;D'!$C$12:$C$140&amp;'2.2 Perdidas por T&amp;D'!$D$12:$D$140,'2.2 Perdidas por T&amp;D'!$E$12:$E$140,"-")</f>
        <v>3.1753749810000009E-2</v>
      </c>
      <c r="I384" s="764" t="str" cm="1">
        <f t="array" ref="I384">_xlfn.XLOOKUP(E384&amp;F384&amp;G384,'2.2 Perdidas por T&amp;D'!$B$12:$B$140&amp;'2.2 Perdidas por T&amp;D'!$C$12:$C$140&amp;'2.2 Perdidas por T&amp;D'!$D$12:$D$140,'2.2 Perdidas por T&amp;D'!$F$12:$F$140,"-")</f>
        <v>kgCO2e/kWh</v>
      </c>
      <c r="J384" s="764" t="str" cm="1">
        <f t="array" ref="J384">_xlfn.XLOOKUP(E384&amp;F384&amp;G384,'2.2 Perdidas por T&amp;D'!$B$12:$B$140&amp;'2.2 Perdidas por T&amp;D'!$C$12:$C$140&amp;'2.2 Perdidas por T&amp;D'!$D$12:$D$140,'2.2 Perdidas por T&amp;D'!$G$12:$G$140,"-")</f>
        <v>Base de Información de Eficiencia Energética - CEPAL- Enerdata, 2018 (https://biee-cepal.enerdata.net/es/datamapper/rate-of-electricity-t&amp;d-losses.html)</v>
      </c>
      <c r="K384" s="764" t="s">
        <v>102</v>
      </c>
      <c r="L384" s="768" t="s">
        <v>102</v>
      </c>
    </row>
    <row r="385" spans="2:12" ht="72">
      <c r="B385" s="764" t="s">
        <v>198</v>
      </c>
      <c r="C385" s="764" t="s">
        <v>44</v>
      </c>
      <c r="D385" s="764" t="s">
        <v>208</v>
      </c>
      <c r="E385" s="764" t="s">
        <v>207</v>
      </c>
      <c r="F385" s="775">
        <v>2018</v>
      </c>
      <c r="G385" s="764" t="s">
        <v>200</v>
      </c>
      <c r="H385" s="765" cm="1">
        <f t="array" ref="H385">_xlfn.XLOOKUP(E385&amp;F385&amp;G385,'2.2 Perdidas por T&amp;D'!$B$12:$B$140&amp;'2.2 Perdidas por T&amp;D'!$C$12:$C$140&amp;'2.2 Perdidas por T&amp;D'!$D$12:$D$140,'2.2 Perdidas por T&amp;D'!$E$12:$E$140,"-")</f>
        <v>31.639749998100005</v>
      </c>
      <c r="I385" s="764" t="str" cm="1">
        <f t="array" ref="I385">_xlfn.XLOOKUP(E385&amp;F385&amp;G385,'2.2 Perdidas por T&amp;D'!$B$12:$B$140&amp;'2.2 Perdidas por T&amp;D'!$C$12:$C$140&amp;'2.2 Perdidas por T&amp;D'!$D$12:$D$140,'2.2 Perdidas por T&amp;D'!$F$12:$F$140,"-")</f>
        <v>kgCO2e/MWh</v>
      </c>
      <c r="J385" s="764" t="str" cm="1">
        <f t="array" ref="J385">_xlfn.XLOOKUP(E385&amp;F385&amp;G385,'2.2 Perdidas por T&amp;D'!$B$12:$B$140&amp;'2.2 Perdidas por T&amp;D'!$C$12:$C$140&amp;'2.2 Perdidas por T&amp;D'!$D$12:$D$140,'2.2 Perdidas por T&amp;D'!$G$12:$G$140,"-")</f>
        <v>Base de Información de Eficiencia Energética - CEPAL- Enerdata, 2018 (https://biee-cepal.enerdata.net/es/datamapper/rate-of-electricity-t&amp;d-losses.html)</v>
      </c>
      <c r="K385" s="764" t="s">
        <v>102</v>
      </c>
      <c r="L385" s="768" t="s">
        <v>102</v>
      </c>
    </row>
    <row r="386" spans="2:12" ht="72">
      <c r="B386" s="764" t="s">
        <v>198</v>
      </c>
      <c r="C386" s="764" t="s">
        <v>44</v>
      </c>
      <c r="D386" s="764" t="s">
        <v>208</v>
      </c>
      <c r="E386" s="764" t="s">
        <v>207</v>
      </c>
      <c r="F386" s="775">
        <v>2018</v>
      </c>
      <c r="G386" s="764" t="s">
        <v>201</v>
      </c>
      <c r="H386" s="765" cm="1">
        <f t="array" ref="H386">_xlfn.XLOOKUP(E386&amp;F386&amp;G386,'2.2 Perdidas por T&amp;D'!$B$12:$B$140&amp;'2.2 Perdidas por T&amp;D'!$C$12:$C$140&amp;'2.2 Perdidas por T&amp;D'!$D$12:$D$140,'2.2 Perdidas por T&amp;D'!$E$12:$E$140,"-")</f>
        <v>31639.749998100004</v>
      </c>
      <c r="I386" s="764" t="str" cm="1">
        <f t="array" ref="I386">_xlfn.XLOOKUP(E386&amp;F386&amp;G386,'2.2 Perdidas por T&amp;D'!$B$12:$B$140&amp;'2.2 Perdidas por T&amp;D'!$C$12:$C$140&amp;'2.2 Perdidas por T&amp;D'!$D$12:$D$140,'2.2 Perdidas por T&amp;D'!$F$12:$F$140,"-")</f>
        <v>kgCO2e/GWh</v>
      </c>
      <c r="J386" s="764" t="str" cm="1">
        <f t="array" ref="J386">_xlfn.XLOOKUP(E386&amp;F386&amp;G386,'2.2 Perdidas por T&amp;D'!$B$12:$B$140&amp;'2.2 Perdidas por T&amp;D'!$C$12:$C$140&amp;'2.2 Perdidas por T&amp;D'!$D$12:$D$140,'2.2 Perdidas por T&amp;D'!$G$12:$G$140,"-")</f>
        <v>Base de Información de Eficiencia Energética - CEPAL- Enerdata, 2018 (https://biee-cepal.enerdata.net/es/datamapper/rate-of-electricity-t&amp;d-losses.html)</v>
      </c>
      <c r="K386" s="764" t="s">
        <v>102</v>
      </c>
      <c r="L386" s="768" t="s">
        <v>102</v>
      </c>
    </row>
    <row r="387" spans="2:12" ht="72">
      <c r="B387" s="764" t="s">
        <v>198</v>
      </c>
      <c r="C387" s="764" t="s">
        <v>44</v>
      </c>
      <c r="D387" s="764" t="s">
        <v>208</v>
      </c>
      <c r="E387" s="764" t="s">
        <v>207</v>
      </c>
      <c r="F387" s="775">
        <v>2018</v>
      </c>
      <c r="G387" s="764" t="s">
        <v>202</v>
      </c>
      <c r="H387" s="765" cm="1">
        <f t="array" ref="H387">_xlfn.XLOOKUP(E387&amp;F387&amp;G387,'2.2 Perdidas por T&amp;D'!$B$12:$B$140&amp;'2.2 Perdidas por T&amp;D'!$C$12:$C$140&amp;'2.2 Perdidas por T&amp;D'!$D$12:$D$140,'2.2 Perdidas por T&amp;D'!$E$12:$E$140,"-")</f>
        <v>3.16397499981E-2</v>
      </c>
      <c r="I387" s="764" t="str" cm="1">
        <f t="array" ref="I387">_xlfn.XLOOKUP(E387&amp;F387&amp;G387,'2.2 Perdidas por T&amp;D'!$B$12:$B$140&amp;'2.2 Perdidas por T&amp;D'!$C$12:$C$140&amp;'2.2 Perdidas por T&amp;D'!$D$12:$D$140,'2.2 Perdidas por T&amp;D'!$F$12:$F$140,"-")</f>
        <v>kgCO2e/kWh</v>
      </c>
      <c r="J387" s="764" t="str" cm="1">
        <f t="array" ref="J387">_xlfn.XLOOKUP(E387&amp;F387&amp;G387,'2.2 Perdidas por T&amp;D'!$B$12:$B$140&amp;'2.2 Perdidas por T&amp;D'!$C$12:$C$140&amp;'2.2 Perdidas por T&amp;D'!$D$12:$D$140,'2.2 Perdidas por T&amp;D'!$G$12:$G$140,"-")</f>
        <v>Base de Información de Eficiencia Energética - CEPAL- Enerdata, 2018 (https://biee-cepal.enerdata.net/es/datamapper/rate-of-electricity-t&amp;d-losses.html)</v>
      </c>
      <c r="K387" s="764" t="s">
        <v>102</v>
      </c>
      <c r="L387" s="768" t="s">
        <v>102</v>
      </c>
    </row>
    <row r="388" spans="2:12" ht="72">
      <c r="B388" s="764" t="s">
        <v>198</v>
      </c>
      <c r="C388" s="764" t="s">
        <v>44</v>
      </c>
      <c r="D388" s="764" t="s">
        <v>208</v>
      </c>
      <c r="E388" s="764" t="s">
        <v>207</v>
      </c>
      <c r="F388" s="775">
        <v>2019</v>
      </c>
      <c r="G388" s="764" t="s">
        <v>200</v>
      </c>
      <c r="H388" s="765" cm="1">
        <f t="array" ref="H388">_xlfn.XLOOKUP(E388&amp;F388&amp;G388,'2.2 Perdidas por T&amp;D'!$B$12:$B$140&amp;'2.2 Perdidas por T&amp;D'!$C$12:$C$140&amp;'2.2 Perdidas por T&amp;D'!$D$12:$D$140,'2.2 Perdidas por T&amp;D'!$E$12:$E$140,"-")</f>
        <v>29.487999998100005</v>
      </c>
      <c r="I388" s="764" t="str" cm="1">
        <f t="array" ref="I388">_xlfn.XLOOKUP(E388&amp;F388&amp;G388,'2.2 Perdidas por T&amp;D'!$B$12:$B$140&amp;'2.2 Perdidas por T&amp;D'!$C$12:$C$140&amp;'2.2 Perdidas por T&amp;D'!$D$12:$D$140,'2.2 Perdidas por T&amp;D'!$F$12:$F$140,"-")</f>
        <v>kgCO2e/MWh</v>
      </c>
      <c r="J388" s="764" t="str" cm="1">
        <f t="array" ref="J388">_xlfn.XLOOKUP(E388&amp;F388&amp;G388,'2.2 Perdidas por T&amp;D'!$B$12:$B$140&amp;'2.2 Perdidas por T&amp;D'!$C$12:$C$140&amp;'2.2 Perdidas por T&amp;D'!$D$12:$D$140,'2.2 Perdidas por T&amp;D'!$G$12:$G$140,"-")</f>
        <v>Base de Información de Eficiencia Energética - CEPAL- Enerdata, 2018 (https://biee-cepal.enerdata.net/es/datamapper/rate-of-electricity-t&amp;d-losses.html)</v>
      </c>
      <c r="K388" s="764" t="s">
        <v>102</v>
      </c>
      <c r="L388" s="768" t="s">
        <v>102</v>
      </c>
    </row>
    <row r="389" spans="2:12" ht="72">
      <c r="B389" s="764" t="s">
        <v>198</v>
      </c>
      <c r="C389" s="764" t="s">
        <v>44</v>
      </c>
      <c r="D389" s="764" t="s">
        <v>208</v>
      </c>
      <c r="E389" s="764" t="s">
        <v>207</v>
      </c>
      <c r="F389" s="775">
        <v>2019</v>
      </c>
      <c r="G389" s="764" t="s">
        <v>201</v>
      </c>
      <c r="H389" s="765" cm="1">
        <f t="array" ref="H389">_xlfn.XLOOKUP(E389&amp;F389&amp;G389,'2.2 Perdidas por T&amp;D'!$B$12:$B$140&amp;'2.2 Perdidas por T&amp;D'!$C$12:$C$140&amp;'2.2 Perdidas por T&amp;D'!$D$12:$D$140,'2.2 Perdidas por T&amp;D'!$E$12:$E$140,"-")</f>
        <v>29487.999998100004</v>
      </c>
      <c r="I389" s="764" t="str" cm="1">
        <f t="array" ref="I389">_xlfn.XLOOKUP(E389&amp;F389&amp;G389,'2.2 Perdidas por T&amp;D'!$B$12:$B$140&amp;'2.2 Perdidas por T&amp;D'!$C$12:$C$140&amp;'2.2 Perdidas por T&amp;D'!$D$12:$D$140,'2.2 Perdidas por T&amp;D'!$F$12:$F$140,"-")</f>
        <v>kgCO2e/GWh</v>
      </c>
      <c r="J389" s="764" t="str" cm="1">
        <f t="array" ref="J389">_xlfn.XLOOKUP(E389&amp;F389&amp;G389,'2.2 Perdidas por T&amp;D'!$B$12:$B$140&amp;'2.2 Perdidas por T&amp;D'!$C$12:$C$140&amp;'2.2 Perdidas por T&amp;D'!$D$12:$D$140,'2.2 Perdidas por T&amp;D'!$G$12:$G$140,"-")</f>
        <v>Base de Información de Eficiencia Energética - CEPAL- Enerdata, 2018 (https://biee-cepal.enerdata.net/es/datamapper/rate-of-electricity-t&amp;d-losses.html)</v>
      </c>
      <c r="K389" s="764" t="s">
        <v>102</v>
      </c>
      <c r="L389" s="768" t="s">
        <v>102</v>
      </c>
    </row>
    <row r="390" spans="2:12" ht="72">
      <c r="B390" s="764" t="s">
        <v>198</v>
      </c>
      <c r="C390" s="764" t="s">
        <v>44</v>
      </c>
      <c r="D390" s="764" t="s">
        <v>208</v>
      </c>
      <c r="E390" s="764" t="s">
        <v>207</v>
      </c>
      <c r="F390" s="775">
        <v>2019</v>
      </c>
      <c r="G390" s="764" t="s">
        <v>202</v>
      </c>
      <c r="H390" s="765" cm="1">
        <f t="array" ref="H390">_xlfn.XLOOKUP(E390&amp;F390&amp;G390,'2.2 Perdidas por T&amp;D'!$B$12:$B$140&amp;'2.2 Perdidas por T&amp;D'!$C$12:$C$140&amp;'2.2 Perdidas por T&amp;D'!$D$12:$D$140,'2.2 Perdidas por T&amp;D'!$E$12:$E$140,"-")</f>
        <v>2.9487999998100006E-2</v>
      </c>
      <c r="I390" s="764" t="str" cm="1">
        <f t="array" ref="I390">_xlfn.XLOOKUP(E390&amp;F390&amp;G390,'2.2 Perdidas por T&amp;D'!$B$12:$B$140&amp;'2.2 Perdidas por T&amp;D'!$C$12:$C$140&amp;'2.2 Perdidas por T&amp;D'!$D$12:$D$140,'2.2 Perdidas por T&amp;D'!$F$12:$F$140,"-")</f>
        <v>kgCO2e/kWh</v>
      </c>
      <c r="J390" s="764" t="str" cm="1">
        <f t="array" ref="J390">_xlfn.XLOOKUP(E390&amp;F390&amp;G390,'2.2 Perdidas por T&amp;D'!$B$12:$B$140&amp;'2.2 Perdidas por T&amp;D'!$C$12:$C$140&amp;'2.2 Perdidas por T&amp;D'!$D$12:$D$140,'2.2 Perdidas por T&amp;D'!$G$12:$G$140,"-")</f>
        <v>Base de Información de Eficiencia Energética - CEPAL- Enerdata, 2018 (https://biee-cepal.enerdata.net/es/datamapper/rate-of-electricity-t&amp;d-losses.html)</v>
      </c>
      <c r="K390" s="764" t="s">
        <v>102</v>
      </c>
      <c r="L390" s="768" t="s">
        <v>102</v>
      </c>
    </row>
    <row r="391" spans="2:12" ht="72">
      <c r="B391" s="764" t="s">
        <v>198</v>
      </c>
      <c r="C391" s="764" t="s">
        <v>44</v>
      </c>
      <c r="D391" s="764" t="s">
        <v>208</v>
      </c>
      <c r="E391" s="764" t="s">
        <v>207</v>
      </c>
      <c r="F391" s="775">
        <v>2020</v>
      </c>
      <c r="G391" s="764" t="s">
        <v>200</v>
      </c>
      <c r="H391" s="765" cm="1">
        <f t="array" ref="H391">_xlfn.XLOOKUP(E391&amp;F391&amp;G391,'2.2 Perdidas por T&amp;D'!$B$12:$B$140&amp;'2.2 Perdidas por T&amp;D'!$C$12:$C$140&amp;'2.2 Perdidas por T&amp;D'!$D$12:$D$140,'2.2 Perdidas por T&amp;D'!$E$12:$E$140,"-")</f>
        <v>27.2555000019</v>
      </c>
      <c r="I391" s="764" t="str" cm="1">
        <f t="array" ref="I391">_xlfn.XLOOKUP(E391&amp;F391&amp;G391,'2.2 Perdidas por T&amp;D'!$B$12:$B$140&amp;'2.2 Perdidas por T&amp;D'!$C$12:$C$140&amp;'2.2 Perdidas por T&amp;D'!$D$12:$D$140,'2.2 Perdidas por T&amp;D'!$F$12:$F$140,"-")</f>
        <v>kgCO2e/MWh</v>
      </c>
      <c r="J391" s="764" t="str" cm="1">
        <f t="array" ref="J391">_xlfn.XLOOKUP(E391&amp;F391&amp;G391,'2.2 Perdidas por T&amp;D'!$B$12:$B$140&amp;'2.2 Perdidas por T&amp;D'!$C$12:$C$140&amp;'2.2 Perdidas por T&amp;D'!$D$12:$D$140,'2.2 Perdidas por T&amp;D'!$G$12:$G$140,"-")</f>
        <v>Base de Información de Eficiencia Energética - CEPAL- Enerdata, 2018 (https://biee-cepal.enerdata.net/es/datamapper/rate-of-electricity-t&amp;d-losses.html)</v>
      </c>
      <c r="K391" s="764" t="s">
        <v>102</v>
      </c>
      <c r="L391" s="768" t="s">
        <v>102</v>
      </c>
    </row>
    <row r="392" spans="2:12" ht="72">
      <c r="B392" s="764" t="s">
        <v>198</v>
      </c>
      <c r="C392" s="764" t="s">
        <v>44</v>
      </c>
      <c r="D392" s="764" t="s">
        <v>208</v>
      </c>
      <c r="E392" s="764" t="s">
        <v>207</v>
      </c>
      <c r="F392" s="775">
        <v>2020</v>
      </c>
      <c r="G392" s="764" t="s">
        <v>201</v>
      </c>
      <c r="H392" s="765" cm="1">
        <f t="array" ref="H392">_xlfn.XLOOKUP(E392&amp;F392&amp;G392,'2.2 Perdidas por T&amp;D'!$B$12:$B$140&amp;'2.2 Perdidas por T&amp;D'!$C$12:$C$140&amp;'2.2 Perdidas por T&amp;D'!$D$12:$D$140,'2.2 Perdidas por T&amp;D'!$E$12:$E$140,"-")</f>
        <v>27255.5000019</v>
      </c>
      <c r="I392" s="764" t="str" cm="1">
        <f t="array" ref="I392">_xlfn.XLOOKUP(E392&amp;F392&amp;G392,'2.2 Perdidas por T&amp;D'!$B$12:$B$140&amp;'2.2 Perdidas por T&amp;D'!$C$12:$C$140&amp;'2.2 Perdidas por T&amp;D'!$D$12:$D$140,'2.2 Perdidas por T&amp;D'!$F$12:$F$140,"-")</f>
        <v>kgCO2e/GWh</v>
      </c>
      <c r="J392" s="764" t="str" cm="1">
        <f t="array" ref="J392">_xlfn.XLOOKUP(E392&amp;F392&amp;G392,'2.2 Perdidas por T&amp;D'!$B$12:$B$140&amp;'2.2 Perdidas por T&amp;D'!$C$12:$C$140&amp;'2.2 Perdidas por T&amp;D'!$D$12:$D$140,'2.2 Perdidas por T&amp;D'!$G$12:$G$140,"-")</f>
        <v>Base de Información de Eficiencia Energética - CEPAL- Enerdata, 2018 (https://biee-cepal.enerdata.net/es/datamapper/rate-of-electricity-t&amp;d-losses.html)</v>
      </c>
      <c r="K392" s="764" t="s">
        <v>102</v>
      </c>
      <c r="L392" s="768" t="s">
        <v>102</v>
      </c>
    </row>
    <row r="393" spans="2:12" ht="72">
      <c r="B393" s="764" t="s">
        <v>198</v>
      </c>
      <c r="C393" s="764" t="s">
        <v>44</v>
      </c>
      <c r="D393" s="764" t="s">
        <v>208</v>
      </c>
      <c r="E393" s="764" t="s">
        <v>207</v>
      </c>
      <c r="F393" s="775">
        <v>2020</v>
      </c>
      <c r="G393" s="764" t="s">
        <v>202</v>
      </c>
      <c r="H393" s="765" cm="1">
        <f t="array" ref="H393">_xlfn.XLOOKUP(E393&amp;F393&amp;G393,'2.2 Perdidas por T&amp;D'!$B$12:$B$140&amp;'2.2 Perdidas por T&amp;D'!$C$12:$C$140&amp;'2.2 Perdidas por T&amp;D'!$D$12:$D$140,'2.2 Perdidas por T&amp;D'!$E$12:$E$140,"-")</f>
        <v>2.7255500001900003E-2</v>
      </c>
      <c r="I393" s="764" t="str" cm="1">
        <f t="array" ref="I393">_xlfn.XLOOKUP(E393&amp;F393&amp;G393,'2.2 Perdidas por T&amp;D'!$B$12:$B$140&amp;'2.2 Perdidas por T&amp;D'!$C$12:$C$140&amp;'2.2 Perdidas por T&amp;D'!$D$12:$D$140,'2.2 Perdidas por T&amp;D'!$F$12:$F$140,"-")</f>
        <v>kgCO2e/kWh</v>
      </c>
      <c r="J393" s="764" t="str" cm="1">
        <f t="array" ref="J393">_xlfn.XLOOKUP(E393&amp;F393&amp;G393,'2.2 Perdidas por T&amp;D'!$B$12:$B$140&amp;'2.2 Perdidas por T&amp;D'!$C$12:$C$140&amp;'2.2 Perdidas por T&amp;D'!$D$12:$D$140,'2.2 Perdidas por T&amp;D'!$G$12:$G$140,"-")</f>
        <v>Base de Información de Eficiencia Energética - CEPAL- Enerdata, 2018 (https://biee-cepal.enerdata.net/es/datamapper/rate-of-electricity-t&amp;d-losses.html)</v>
      </c>
      <c r="K393" s="764" t="s">
        <v>102</v>
      </c>
      <c r="L393" s="768" t="s">
        <v>102</v>
      </c>
    </row>
    <row r="394" spans="2:12" ht="72">
      <c r="B394" s="764" t="s">
        <v>198</v>
      </c>
      <c r="C394" s="764" t="s">
        <v>44</v>
      </c>
      <c r="D394" s="764" t="s">
        <v>208</v>
      </c>
      <c r="E394" s="764" t="s">
        <v>207</v>
      </c>
      <c r="F394" s="775">
        <v>2021</v>
      </c>
      <c r="G394" s="764" t="s">
        <v>200</v>
      </c>
      <c r="H394" s="765" cm="1">
        <f t="array" ref="H394">_xlfn.XLOOKUP(E394&amp;F394&amp;G394,'2.2 Perdidas por T&amp;D'!$B$12:$B$140&amp;'2.2 Perdidas por T&amp;D'!$C$12:$C$140&amp;'2.2 Perdidas por T&amp;D'!$D$12:$D$140,'2.2 Perdidas por T&amp;D'!$E$12:$E$140,"-")</f>
        <v>31.649250000000002</v>
      </c>
      <c r="I394" s="764" t="str" cm="1">
        <f t="array" ref="I394">_xlfn.XLOOKUP(E394&amp;F394&amp;G394,'2.2 Perdidas por T&amp;D'!$B$12:$B$140&amp;'2.2 Perdidas por T&amp;D'!$C$12:$C$140&amp;'2.2 Perdidas por T&amp;D'!$D$12:$D$140,'2.2 Perdidas por T&amp;D'!$F$12:$F$140,"-")</f>
        <v>kgCO2e/MWh</v>
      </c>
      <c r="J394" s="764" t="str" cm="1">
        <f t="array" ref="J394">_xlfn.XLOOKUP(E394&amp;F394&amp;G394,'2.2 Perdidas por T&amp;D'!$B$12:$B$140&amp;'2.2 Perdidas por T&amp;D'!$C$12:$C$140&amp;'2.2 Perdidas por T&amp;D'!$D$12:$D$140,'2.2 Perdidas por T&amp;D'!$G$12:$G$140,"-")</f>
        <v>Base de Información de Eficiencia Energética - CEPAL- Enerdata, 2018 (https://biee-cepal.enerdata.net/es/datamapper/rate-of-electricity-t&amp;d-losses.html)</v>
      </c>
      <c r="K394" s="764" t="s">
        <v>102</v>
      </c>
      <c r="L394" s="768" t="s">
        <v>102</v>
      </c>
    </row>
    <row r="395" spans="2:12" ht="72">
      <c r="B395" s="764" t="s">
        <v>198</v>
      </c>
      <c r="C395" s="764" t="s">
        <v>44</v>
      </c>
      <c r="D395" s="764" t="s">
        <v>208</v>
      </c>
      <c r="E395" s="764" t="s">
        <v>207</v>
      </c>
      <c r="F395" s="775">
        <v>2021</v>
      </c>
      <c r="G395" s="764" t="s">
        <v>201</v>
      </c>
      <c r="H395" s="765" cm="1">
        <f t="array" ref="H395">_xlfn.XLOOKUP(E395&amp;F395&amp;G395,'2.2 Perdidas por T&amp;D'!$B$12:$B$140&amp;'2.2 Perdidas por T&amp;D'!$C$12:$C$140&amp;'2.2 Perdidas por T&amp;D'!$D$12:$D$140,'2.2 Perdidas por T&amp;D'!$E$12:$E$140,"-")</f>
        <v>31649.25</v>
      </c>
      <c r="I395" s="764" t="str" cm="1">
        <f t="array" ref="I395">_xlfn.XLOOKUP(E395&amp;F395&amp;G395,'2.2 Perdidas por T&amp;D'!$B$12:$B$140&amp;'2.2 Perdidas por T&amp;D'!$C$12:$C$140&amp;'2.2 Perdidas por T&amp;D'!$D$12:$D$140,'2.2 Perdidas por T&amp;D'!$F$12:$F$140,"-")</f>
        <v>kgCO2e/GWh</v>
      </c>
      <c r="J395" s="764" t="str" cm="1">
        <f t="array" ref="J395">_xlfn.XLOOKUP(E395&amp;F395&amp;G395,'2.2 Perdidas por T&amp;D'!$B$12:$B$140&amp;'2.2 Perdidas por T&amp;D'!$C$12:$C$140&amp;'2.2 Perdidas por T&amp;D'!$D$12:$D$140,'2.2 Perdidas por T&amp;D'!$G$12:$G$140,"-")</f>
        <v>Base de Información de Eficiencia Energética - CEPAL- Enerdata, 2018 (https://biee-cepal.enerdata.net/es/datamapper/rate-of-electricity-t&amp;d-losses.html)</v>
      </c>
      <c r="K395" s="764" t="s">
        <v>102</v>
      </c>
      <c r="L395" s="768" t="s">
        <v>102</v>
      </c>
    </row>
    <row r="396" spans="2:12" ht="72">
      <c r="B396" s="764" t="s">
        <v>198</v>
      </c>
      <c r="C396" s="764" t="s">
        <v>44</v>
      </c>
      <c r="D396" s="764" t="s">
        <v>208</v>
      </c>
      <c r="E396" s="764" t="s">
        <v>207</v>
      </c>
      <c r="F396" s="775">
        <v>2021</v>
      </c>
      <c r="G396" s="764" t="s">
        <v>202</v>
      </c>
      <c r="H396" s="765" cm="1">
        <f t="array" ref="H396">_xlfn.XLOOKUP(E396&amp;F396&amp;G396,'2.2 Perdidas por T&amp;D'!$B$12:$B$140&amp;'2.2 Perdidas por T&amp;D'!$C$12:$C$140&amp;'2.2 Perdidas por T&amp;D'!$D$12:$D$140,'2.2 Perdidas por T&amp;D'!$E$12:$E$140,"-")</f>
        <v>3.1649250000000004E-2</v>
      </c>
      <c r="I396" s="764" t="str" cm="1">
        <f t="array" ref="I396">_xlfn.XLOOKUP(E396&amp;F396&amp;G396,'2.2 Perdidas por T&amp;D'!$B$12:$B$140&amp;'2.2 Perdidas por T&amp;D'!$C$12:$C$140&amp;'2.2 Perdidas por T&amp;D'!$D$12:$D$140,'2.2 Perdidas por T&amp;D'!$F$12:$F$140,"-")</f>
        <v>kgCO2e/kWh</v>
      </c>
      <c r="J396" s="764" t="str" cm="1">
        <f t="array" ref="J396">_xlfn.XLOOKUP(E396&amp;F396&amp;G396,'2.2 Perdidas por T&amp;D'!$B$12:$B$140&amp;'2.2 Perdidas por T&amp;D'!$C$12:$C$140&amp;'2.2 Perdidas por T&amp;D'!$D$12:$D$140,'2.2 Perdidas por T&amp;D'!$G$12:$G$140,"-")</f>
        <v>Base de Información de Eficiencia Energética - CEPAL- Enerdata, 2018 (https://biee-cepal.enerdata.net/es/datamapper/rate-of-electricity-t&amp;d-losses.html)</v>
      </c>
      <c r="K396" s="764" t="s">
        <v>102</v>
      </c>
      <c r="L396" s="768" t="s">
        <v>102</v>
      </c>
    </row>
    <row r="397" spans="2:12" ht="72">
      <c r="B397" s="764" t="s">
        <v>198</v>
      </c>
      <c r="C397" s="764" t="s">
        <v>44</v>
      </c>
      <c r="D397" s="764" t="s">
        <v>208</v>
      </c>
      <c r="E397" s="764" t="s">
        <v>207</v>
      </c>
      <c r="F397" s="775">
        <v>2022</v>
      </c>
      <c r="G397" s="764" t="s">
        <v>200</v>
      </c>
      <c r="H397" s="765" cm="1">
        <f t="array" ref="H397">_xlfn.XLOOKUP(E397&amp;F397&amp;G397,'2.2 Perdidas por T&amp;D'!$B$12:$B$140&amp;'2.2 Perdidas por T&amp;D'!$C$12:$C$140&amp;'2.2 Perdidas por T&amp;D'!$D$12:$D$140,'2.2 Perdidas por T&amp;D'!$E$12:$E$140,"-")</f>
        <v>35.629749999810002</v>
      </c>
      <c r="I397" s="764" t="str" cm="1">
        <f t="array" ref="I397">_xlfn.XLOOKUP(E397&amp;F397&amp;G397,'2.2 Perdidas por T&amp;D'!$B$12:$B$140&amp;'2.2 Perdidas por T&amp;D'!$C$12:$C$140&amp;'2.2 Perdidas por T&amp;D'!$D$12:$D$140,'2.2 Perdidas por T&amp;D'!$F$12:$F$140,"-")</f>
        <v>kgCO2e/MWh</v>
      </c>
      <c r="J397" s="764" t="str" cm="1">
        <f t="array" ref="J397">_xlfn.XLOOKUP(E397&amp;F397&amp;G397,'2.2 Perdidas por T&amp;D'!$B$12:$B$140&amp;'2.2 Perdidas por T&amp;D'!$C$12:$C$140&amp;'2.2 Perdidas por T&amp;D'!$D$12:$D$140,'2.2 Perdidas por T&amp;D'!$G$12:$G$140,"-")</f>
        <v>Base de Información de Eficiencia Energética - CEPAL- Enerdata, 2018 (https://biee-cepal.enerdata.net/es/datamapper/rate-of-electricity-t&amp;d-losses.html)</v>
      </c>
      <c r="K397" s="764" t="s">
        <v>102</v>
      </c>
      <c r="L397" s="768" t="s">
        <v>102</v>
      </c>
    </row>
    <row r="398" spans="2:12" ht="72">
      <c r="B398" s="764" t="s">
        <v>198</v>
      </c>
      <c r="C398" s="764" t="s">
        <v>44</v>
      </c>
      <c r="D398" s="764" t="s">
        <v>208</v>
      </c>
      <c r="E398" s="764" t="s">
        <v>207</v>
      </c>
      <c r="F398" s="775">
        <v>2022</v>
      </c>
      <c r="G398" s="764" t="s">
        <v>201</v>
      </c>
      <c r="H398" s="765" cm="1">
        <f t="array" ref="H398">_xlfn.XLOOKUP(E398&amp;F398&amp;G398,'2.2 Perdidas por T&amp;D'!$B$12:$B$140&amp;'2.2 Perdidas por T&amp;D'!$C$12:$C$140&amp;'2.2 Perdidas por T&amp;D'!$D$12:$D$140,'2.2 Perdidas por T&amp;D'!$E$12:$E$140,"-")</f>
        <v>35629.749999809996</v>
      </c>
      <c r="I398" s="764" t="str" cm="1">
        <f t="array" ref="I398">_xlfn.XLOOKUP(E398&amp;F398&amp;G398,'2.2 Perdidas por T&amp;D'!$B$12:$B$140&amp;'2.2 Perdidas por T&amp;D'!$C$12:$C$140&amp;'2.2 Perdidas por T&amp;D'!$D$12:$D$140,'2.2 Perdidas por T&amp;D'!$F$12:$F$140,"-")</f>
        <v>kgCO2e/GWh</v>
      </c>
      <c r="J398" s="764" t="str" cm="1">
        <f t="array" ref="J398">_xlfn.XLOOKUP(E398&amp;F398&amp;G398,'2.2 Perdidas por T&amp;D'!$B$12:$B$140&amp;'2.2 Perdidas por T&amp;D'!$C$12:$C$140&amp;'2.2 Perdidas por T&amp;D'!$D$12:$D$140,'2.2 Perdidas por T&amp;D'!$G$12:$G$140,"-")</f>
        <v>Base de Información de Eficiencia Energética - CEPAL- Enerdata, 2018 (https://biee-cepal.enerdata.net/es/datamapper/rate-of-electricity-t&amp;d-losses.html)</v>
      </c>
      <c r="K398" s="764" t="s">
        <v>102</v>
      </c>
      <c r="L398" s="768" t="s">
        <v>102</v>
      </c>
    </row>
    <row r="399" spans="2:12" ht="72">
      <c r="B399" s="764" t="s">
        <v>198</v>
      </c>
      <c r="C399" s="764" t="s">
        <v>44</v>
      </c>
      <c r="D399" s="764" t="s">
        <v>208</v>
      </c>
      <c r="E399" s="764" t="s">
        <v>207</v>
      </c>
      <c r="F399" s="775">
        <v>2022</v>
      </c>
      <c r="G399" s="764" t="s">
        <v>202</v>
      </c>
      <c r="H399" s="765" cm="1">
        <f t="array" ref="H399">_xlfn.XLOOKUP(E399&amp;F399&amp;G399,'2.2 Perdidas por T&amp;D'!$B$12:$B$140&amp;'2.2 Perdidas por T&amp;D'!$C$12:$C$140&amp;'2.2 Perdidas por T&amp;D'!$D$12:$D$140,'2.2 Perdidas por T&amp;D'!$E$12:$E$140,"-")</f>
        <v>3.5629749999810001E-2</v>
      </c>
      <c r="I399" s="764" t="str" cm="1">
        <f t="array" ref="I399">_xlfn.XLOOKUP(E399&amp;F399&amp;G399,'2.2 Perdidas por T&amp;D'!$B$12:$B$140&amp;'2.2 Perdidas por T&amp;D'!$C$12:$C$140&amp;'2.2 Perdidas por T&amp;D'!$D$12:$D$140,'2.2 Perdidas por T&amp;D'!$F$12:$F$140,"-")</f>
        <v>kgCO2e/kWh</v>
      </c>
      <c r="J399" s="764" t="str" cm="1">
        <f t="array" ref="J399">_xlfn.XLOOKUP(E399&amp;F399&amp;G399,'2.2 Perdidas por T&amp;D'!$B$12:$B$140&amp;'2.2 Perdidas por T&amp;D'!$C$12:$C$140&amp;'2.2 Perdidas por T&amp;D'!$D$12:$D$140,'2.2 Perdidas por T&amp;D'!$G$12:$G$140,"-")</f>
        <v>Base de Información de Eficiencia Energética - CEPAL- Enerdata, 2018 (https://biee-cepal.enerdata.net/es/datamapper/rate-of-electricity-t&amp;d-losses.html)</v>
      </c>
      <c r="K399" s="764" t="s">
        <v>102</v>
      </c>
      <c r="L399" s="768" t="s">
        <v>102</v>
      </c>
    </row>
    <row r="400" spans="2:12" ht="72">
      <c r="B400" s="764" t="s">
        <v>198</v>
      </c>
      <c r="C400" s="764" t="s">
        <v>44</v>
      </c>
      <c r="D400" s="764" t="s">
        <v>208</v>
      </c>
      <c r="E400" s="764" t="s">
        <v>207</v>
      </c>
      <c r="F400" s="775">
        <v>2023</v>
      </c>
      <c r="G400" s="764" t="s">
        <v>200</v>
      </c>
      <c r="H400" s="765" cm="1">
        <f t="array" ref="H400">_xlfn.XLOOKUP(E400&amp;F400&amp;G400,'2.2 Perdidas por T&amp;D'!$B$12:$B$140&amp;'2.2 Perdidas por T&amp;D'!$C$12:$C$140&amp;'2.2 Perdidas por T&amp;D'!$D$12:$D$140,'2.2 Perdidas por T&amp;D'!$E$12:$E$140,"-")</f>
        <v>35.577500000190007</v>
      </c>
      <c r="I400" s="764" t="str" cm="1">
        <f t="array" ref="I400">_xlfn.XLOOKUP(E400&amp;F400&amp;G400,'2.2 Perdidas por T&amp;D'!$B$12:$B$140&amp;'2.2 Perdidas por T&amp;D'!$C$12:$C$140&amp;'2.2 Perdidas por T&amp;D'!$D$12:$D$140,'2.2 Perdidas por T&amp;D'!$F$12:$F$140,"-")</f>
        <v>kgCO2e/MWh</v>
      </c>
      <c r="J400" s="764" t="str" cm="1">
        <f t="array" ref="J400">_xlfn.XLOOKUP(E400&amp;F400&amp;G400,'2.2 Perdidas por T&amp;D'!$B$12:$B$140&amp;'2.2 Perdidas por T&amp;D'!$C$12:$C$140&amp;'2.2 Perdidas por T&amp;D'!$D$12:$D$140,'2.2 Perdidas por T&amp;D'!$G$12:$G$140,"-")</f>
        <v>Base de Información de Eficiencia Energética - CEPAL- Enerdata, 2018 (https://biee-cepal.enerdata.net/es/datamapper/rate-of-electricity-t&amp;d-losses.html)</v>
      </c>
      <c r="K400" s="764" t="s">
        <v>102</v>
      </c>
      <c r="L400" s="768" t="s">
        <v>102</v>
      </c>
    </row>
    <row r="401" spans="2:12" ht="72">
      <c r="B401" s="764" t="s">
        <v>198</v>
      </c>
      <c r="C401" s="764" t="s">
        <v>44</v>
      </c>
      <c r="D401" s="764" t="s">
        <v>208</v>
      </c>
      <c r="E401" s="764" t="s">
        <v>207</v>
      </c>
      <c r="F401" s="775">
        <v>2023</v>
      </c>
      <c r="G401" s="764" t="s">
        <v>201</v>
      </c>
      <c r="H401" s="765" cm="1">
        <f t="array" ref="H401">_xlfn.XLOOKUP(E401&amp;F401&amp;G401,'2.2 Perdidas por T&amp;D'!$B$12:$B$140&amp;'2.2 Perdidas por T&amp;D'!$C$12:$C$140&amp;'2.2 Perdidas por T&amp;D'!$D$12:$D$140,'2.2 Perdidas por T&amp;D'!$E$12:$E$140,"-")</f>
        <v>35577.500000190004</v>
      </c>
      <c r="I401" s="764" t="str" cm="1">
        <f t="array" ref="I401">_xlfn.XLOOKUP(E401&amp;F401&amp;G401,'2.2 Perdidas por T&amp;D'!$B$12:$B$140&amp;'2.2 Perdidas por T&amp;D'!$C$12:$C$140&amp;'2.2 Perdidas por T&amp;D'!$D$12:$D$140,'2.2 Perdidas por T&amp;D'!$F$12:$F$140,"-")</f>
        <v>kgCO2e/GWh</v>
      </c>
      <c r="J401" s="764" t="str" cm="1">
        <f t="array" ref="J401">_xlfn.XLOOKUP(E401&amp;F401&amp;G401,'2.2 Perdidas por T&amp;D'!$B$12:$B$140&amp;'2.2 Perdidas por T&amp;D'!$C$12:$C$140&amp;'2.2 Perdidas por T&amp;D'!$D$12:$D$140,'2.2 Perdidas por T&amp;D'!$G$12:$G$140,"-")</f>
        <v>Base de Información de Eficiencia Energética - CEPAL- Enerdata, 2018 (https://biee-cepal.enerdata.net/es/datamapper/rate-of-electricity-t&amp;d-losses.html)</v>
      </c>
      <c r="K401" s="764" t="s">
        <v>102</v>
      </c>
      <c r="L401" s="768" t="s">
        <v>102</v>
      </c>
    </row>
    <row r="402" spans="2:12" ht="72">
      <c r="B402" s="764" t="s">
        <v>198</v>
      </c>
      <c r="C402" s="764" t="s">
        <v>44</v>
      </c>
      <c r="D402" s="764" t="s">
        <v>208</v>
      </c>
      <c r="E402" s="764" t="s">
        <v>207</v>
      </c>
      <c r="F402" s="775">
        <v>2023</v>
      </c>
      <c r="G402" s="764" t="s">
        <v>202</v>
      </c>
      <c r="H402" s="765" cm="1">
        <f t="array" ref="H402">_xlfn.XLOOKUP(E402&amp;F402&amp;G402,'2.2 Perdidas por T&amp;D'!$B$12:$B$140&amp;'2.2 Perdidas por T&amp;D'!$C$12:$C$140&amp;'2.2 Perdidas por T&amp;D'!$D$12:$D$140,'2.2 Perdidas por T&amp;D'!$E$12:$E$140,"-")</f>
        <v>3.5577500000190006E-2</v>
      </c>
      <c r="I402" s="764" t="str" cm="1">
        <f t="array" ref="I402">_xlfn.XLOOKUP(E402&amp;F402&amp;G402,'2.2 Perdidas por T&amp;D'!$B$12:$B$140&amp;'2.2 Perdidas por T&amp;D'!$C$12:$C$140&amp;'2.2 Perdidas por T&amp;D'!$D$12:$D$140,'2.2 Perdidas por T&amp;D'!$F$12:$F$140,"-")</f>
        <v>kgCO2e/kWh</v>
      </c>
      <c r="J402" s="764" t="str" cm="1">
        <f t="array" ref="J402">_xlfn.XLOOKUP(E402&amp;F402&amp;G402,'2.2 Perdidas por T&amp;D'!$B$12:$B$140&amp;'2.2 Perdidas por T&amp;D'!$C$12:$C$140&amp;'2.2 Perdidas por T&amp;D'!$D$12:$D$140,'2.2 Perdidas por T&amp;D'!$G$12:$G$140,"-")</f>
        <v>Base de Información de Eficiencia Energética - CEPAL- Enerdata, 2018 (https://biee-cepal.enerdata.net/es/datamapper/rate-of-electricity-t&amp;d-losses.html)</v>
      </c>
      <c r="K402" s="764" t="s">
        <v>102</v>
      </c>
      <c r="L402" s="768" t="s">
        <v>102</v>
      </c>
    </row>
    <row r="403" spans="2:12" ht="72">
      <c r="B403" s="764" t="s">
        <v>198</v>
      </c>
      <c r="C403" s="764" t="s">
        <v>44</v>
      </c>
      <c r="D403" s="764" t="s">
        <v>208</v>
      </c>
      <c r="E403" s="764" t="s">
        <v>207</v>
      </c>
      <c r="F403" s="775">
        <v>2024</v>
      </c>
      <c r="G403" s="764" t="s">
        <v>200</v>
      </c>
      <c r="H403" s="765" t="str" cm="1">
        <f t="array" ref="H403">_xlfn.XLOOKUP(E403&amp;F403&amp;G403,'2.2 Perdidas por T&amp;D'!$B$12:$B$140&amp;'2.2 Perdidas por T&amp;D'!$C$12:$C$140&amp;'2.2 Perdidas por T&amp;D'!$D$12:$D$140,'2.2 Perdidas por T&amp;D'!$E$12:$E$140,"-")</f>
        <v>PENDIENTE</v>
      </c>
      <c r="I403" s="764" t="str" cm="1">
        <f t="array" ref="I403">_xlfn.XLOOKUP(E403&amp;F403&amp;G403,'2.2 Perdidas por T&amp;D'!$B$12:$B$140&amp;'2.2 Perdidas por T&amp;D'!$C$12:$C$140&amp;'2.2 Perdidas por T&amp;D'!$D$12:$D$140,'2.2 Perdidas por T&amp;D'!$F$12:$F$140,"-")</f>
        <v>kgCO2e/MWh</v>
      </c>
      <c r="J403" s="764" t="str" cm="1">
        <f t="array" ref="J403">_xlfn.XLOOKUP(E403&amp;F403&amp;G403,'2.2 Perdidas por T&amp;D'!$B$12:$B$140&amp;'2.2 Perdidas por T&amp;D'!$C$12:$C$140&amp;'2.2 Perdidas por T&amp;D'!$D$12:$D$140,'2.2 Perdidas por T&amp;D'!$G$12:$G$140,"-")</f>
        <v>Base de Información de Eficiencia Energética - CEPAL- Enerdata, 2018 (https://biee-cepal.enerdata.net/es/datamapper/rate-of-electricity-t&amp;d-losses.html)</v>
      </c>
      <c r="K403" s="764" t="s">
        <v>102</v>
      </c>
      <c r="L403" s="768" t="s">
        <v>102</v>
      </c>
    </row>
    <row r="404" spans="2:12" ht="72">
      <c r="B404" s="764" t="s">
        <v>198</v>
      </c>
      <c r="C404" s="764" t="s">
        <v>44</v>
      </c>
      <c r="D404" s="764" t="s">
        <v>208</v>
      </c>
      <c r="E404" s="764" t="s">
        <v>207</v>
      </c>
      <c r="F404" s="775">
        <v>2024</v>
      </c>
      <c r="G404" s="764" t="s">
        <v>201</v>
      </c>
      <c r="H404" s="765" t="str" cm="1">
        <f t="array" ref="H404">_xlfn.XLOOKUP(E404&amp;F404&amp;G404,'2.2 Perdidas por T&amp;D'!$B$12:$B$140&amp;'2.2 Perdidas por T&amp;D'!$C$12:$C$140&amp;'2.2 Perdidas por T&amp;D'!$D$12:$D$140,'2.2 Perdidas por T&amp;D'!$E$12:$E$140,"-")</f>
        <v>PENDIENTE</v>
      </c>
      <c r="I404" s="764" t="str" cm="1">
        <f t="array" ref="I404">_xlfn.XLOOKUP(E404&amp;F404&amp;G404,'2.2 Perdidas por T&amp;D'!$B$12:$B$140&amp;'2.2 Perdidas por T&amp;D'!$C$12:$C$140&amp;'2.2 Perdidas por T&amp;D'!$D$12:$D$140,'2.2 Perdidas por T&amp;D'!$F$12:$F$140,"-")</f>
        <v>kgCO2e/GWh</v>
      </c>
      <c r="J404" s="764" t="str" cm="1">
        <f t="array" ref="J404">_xlfn.XLOOKUP(E404&amp;F404&amp;G404,'2.2 Perdidas por T&amp;D'!$B$12:$B$140&amp;'2.2 Perdidas por T&amp;D'!$C$12:$C$140&amp;'2.2 Perdidas por T&amp;D'!$D$12:$D$140,'2.2 Perdidas por T&amp;D'!$G$12:$G$140,"-")</f>
        <v>Base de Información de Eficiencia Energética - CEPAL- Enerdata, 2018 (https://biee-cepal.enerdata.net/es/datamapper/rate-of-electricity-t&amp;d-losses.html)</v>
      </c>
      <c r="K404" s="764" t="s">
        <v>102</v>
      </c>
      <c r="L404" s="768" t="s">
        <v>102</v>
      </c>
    </row>
    <row r="405" spans="2:12" ht="72">
      <c r="B405" s="764" t="s">
        <v>198</v>
      </c>
      <c r="C405" s="764" t="s">
        <v>44</v>
      </c>
      <c r="D405" s="764" t="s">
        <v>208</v>
      </c>
      <c r="E405" s="764" t="s">
        <v>207</v>
      </c>
      <c r="F405" s="775">
        <v>2024</v>
      </c>
      <c r="G405" s="764" t="s">
        <v>202</v>
      </c>
      <c r="H405" s="765" t="str" cm="1">
        <f t="array" ref="H405">_xlfn.XLOOKUP(E405&amp;F405&amp;G405,'2.2 Perdidas por T&amp;D'!$B$12:$B$140&amp;'2.2 Perdidas por T&amp;D'!$C$12:$C$140&amp;'2.2 Perdidas por T&amp;D'!$D$12:$D$140,'2.2 Perdidas por T&amp;D'!$E$12:$E$140,"-")</f>
        <v>PENDIENTE</v>
      </c>
      <c r="I405" s="764" t="str" cm="1">
        <f t="array" ref="I405">_xlfn.XLOOKUP(E405&amp;F405&amp;G405,'2.2 Perdidas por T&amp;D'!$B$12:$B$140&amp;'2.2 Perdidas por T&amp;D'!$C$12:$C$140&amp;'2.2 Perdidas por T&amp;D'!$D$12:$D$140,'2.2 Perdidas por T&amp;D'!$F$12:$F$140,"-")</f>
        <v>kgCO2e/kWh</v>
      </c>
      <c r="J405" s="764" t="str" cm="1">
        <f t="array" ref="J405">_xlfn.XLOOKUP(E405&amp;F405&amp;G405,'2.2 Perdidas por T&amp;D'!$B$12:$B$140&amp;'2.2 Perdidas por T&amp;D'!$C$12:$C$140&amp;'2.2 Perdidas por T&amp;D'!$D$12:$D$140,'2.2 Perdidas por T&amp;D'!$G$12:$G$140,"-")</f>
        <v>Base de Información de Eficiencia Energética - CEPAL- Enerdata, 2018 (https://biee-cepal.enerdata.net/es/datamapper/rate-of-electricity-t&amp;d-losses.html)</v>
      </c>
      <c r="K405" s="764" t="s">
        <v>102</v>
      </c>
      <c r="L405" s="768" t="s">
        <v>102</v>
      </c>
    </row>
    <row r="406" spans="2:12" ht="28.8">
      <c r="B406" s="764" t="s">
        <v>198</v>
      </c>
      <c r="C406" s="764" t="s">
        <v>46</v>
      </c>
      <c r="D406" s="764" t="s">
        <v>209</v>
      </c>
      <c r="E406" s="764" t="s">
        <v>118</v>
      </c>
      <c r="F406" s="764" t="s">
        <v>102</v>
      </c>
      <c r="G406" s="764" t="s">
        <v>103</v>
      </c>
      <c r="H406" s="765" cm="1">
        <f t="array" ref="H406">_xlfn.XLOOKUP(E406&amp;G406,'2.3 Adq. de otras energías'!$B$16:$B$24&amp;'2.3 Adq. de otras energías'!$F$16:$F$24,'2.3 Adq. de otras energías'!$AB$16:$AB$24,"-")</f>
        <v>2707.3954031896797</v>
      </c>
      <c r="I406" s="764" t="str" cm="1">
        <f t="array" ref="I406">_xlfn.XLOOKUP(E406&amp;G406,'2.3 Adq. de otras energías'!$B$16:$B$24&amp;'2.3 Adq. de otras energías'!$F$16:$F$24,'2.3 Adq. de otras energías'!$AC$16:$AC$24,"-")</f>
        <v>kgCO2e/metros cúbicos</v>
      </c>
      <c r="J406" s="764" t="str" cm="1">
        <f t="array" ref="J406">_xlfn.XLOOKUP(E406&amp;G406,'2.3 Adq. de otras energías'!$B$16:$B$24&amp;'2.3 Adq. de otras energías'!$F$16:$F$24,'2.3 Adq. de otras energías'!$AD$16:$AD$24,"-")</f>
        <v>IPCC 2006 (vol2; chapter 2) , Table 2.2</v>
      </c>
      <c r="K406" s="764" t="str" cm="1">
        <f t="array" ref="K406">_xlfn.XLOOKUP(E406&amp;G406,'2.3 Adq. de otras energías'!$B$16:$B$24&amp;'2.3 Adq. de otras energías'!$F$16:$F$24,'2.3 Adq. de otras energías'!$AE$16:$AE$24,"-")</f>
        <v>CNE BNE 2020</v>
      </c>
      <c r="L406" s="768" t="str" cm="1">
        <f t="array" ref="L406">_xlfn.XLOOKUP(E406&amp;G406,'2.3 Adq. de otras energías'!$B$16:$B$24&amp;'2.3 Adq. de otras energías'!$F$16:$F$24,'2.3 Adq. de otras energías'!$AF$16:$AF$24,"-")</f>
        <v>-</v>
      </c>
    </row>
    <row r="407" spans="2:12" ht="28.8">
      <c r="B407" s="764" t="s">
        <v>198</v>
      </c>
      <c r="C407" s="764" t="s">
        <v>46</v>
      </c>
      <c r="D407" s="764" t="s">
        <v>209</v>
      </c>
      <c r="E407" s="764" t="s">
        <v>118</v>
      </c>
      <c r="F407" s="764" t="s">
        <v>102</v>
      </c>
      <c r="G407" s="764" t="s">
        <v>104</v>
      </c>
      <c r="H407" s="765" cm="1">
        <f t="array" ref="H407">_xlfn.XLOOKUP(E407&amp;G407,'2.3 Adq. de otras energías'!$B$16:$B$24&amp;'2.3 Adq. de otras energías'!$F$16:$F$24,'2.3 Adq. de otras energías'!$AB$16:$AB$24,"-")</f>
        <v>2.7073954031896799</v>
      </c>
      <c r="I407" s="764" t="str" cm="1">
        <f t="array" ref="I407">_xlfn.XLOOKUP(E407&amp;G407,'2.3 Adq. de otras energías'!$B$16:$B$24&amp;'2.3 Adq. de otras energías'!$F$16:$F$24,'2.3 Adq. de otras energías'!$AC$16:$AC$24,"-")</f>
        <v>kgCO2e/litros</v>
      </c>
      <c r="J407" s="764" t="str" cm="1">
        <f t="array" ref="J407">_xlfn.XLOOKUP(E407&amp;G407,'2.3 Adq. de otras energías'!$B$16:$B$24&amp;'2.3 Adq. de otras energías'!$F$16:$F$24,'2.3 Adq. de otras energías'!$AD$16:$AD$24,"-")</f>
        <v>IPCC 2006 (vol2; chapter 2) , Table 2.2</v>
      </c>
      <c r="K407" s="764" t="str" cm="1">
        <f t="array" ref="K407">_xlfn.XLOOKUP(E407&amp;G407,'2.3 Adq. de otras energías'!$B$16:$B$24&amp;'2.3 Adq. de otras energías'!$F$16:$F$24,'2.3 Adq. de otras energías'!$AE$16:$AE$24,"-")</f>
        <v>CNE BNE 2020</v>
      </c>
      <c r="L407" s="768" t="str" cm="1">
        <f t="array" ref="L407">_xlfn.XLOOKUP(E407&amp;G407,'2.3 Adq. de otras energías'!$B$16:$B$24&amp;'2.3 Adq. de otras energías'!$F$16:$F$24,'2.3 Adq. de otras energías'!$AF$16:$AF$24,"-")</f>
        <v>-</v>
      </c>
    </row>
    <row r="408" spans="2:12" ht="28.8">
      <c r="B408" s="764" t="s">
        <v>198</v>
      </c>
      <c r="C408" s="764" t="s">
        <v>46</v>
      </c>
      <c r="D408" s="764" t="s">
        <v>209</v>
      </c>
      <c r="E408" s="764" t="s">
        <v>114</v>
      </c>
      <c r="F408" s="764" t="s">
        <v>102</v>
      </c>
      <c r="G408" s="764" t="s">
        <v>103</v>
      </c>
      <c r="H408" s="765" cm="1">
        <f t="array" ref="H408">_xlfn.XLOOKUP(E408&amp;G408,'2.3 Adq. de otras energías'!$B$16:$B$24&amp;'2.3 Adq. de otras energías'!$F$16:$F$24,'2.3 Adq. de otras energías'!$AB$16:$AB$24,"-")</f>
        <v>1583.7152033637003</v>
      </c>
      <c r="I408" s="764" t="str" cm="1">
        <f t="array" ref="I408">_xlfn.XLOOKUP(E408&amp;G408,'2.3 Adq. de otras energías'!$B$16:$B$24&amp;'2.3 Adq. de otras energías'!$F$16:$F$24,'2.3 Adq. de otras energías'!$AC$16:$AC$24,"-")</f>
        <v>kgCO2e/metros cúbicos</v>
      </c>
      <c r="J408" s="764" t="str" cm="1">
        <f t="array" ref="J408">_xlfn.XLOOKUP(E408&amp;G408,'2.3 Adq. de otras energías'!$B$16:$B$24&amp;'2.3 Adq. de otras energías'!$F$16:$F$24,'2.3 Adq. de otras energías'!$AD$16:$AD$24,"-")</f>
        <v>IPCC 2006 (vol2; chapter 2) , Table 2.2</v>
      </c>
      <c r="K408" s="764" t="str" cm="1">
        <f t="array" ref="K408">_xlfn.XLOOKUP(E408&amp;G408,'2.3 Adq. de otras energías'!$B$16:$B$24&amp;'2.3 Adq. de otras energías'!$F$16:$F$24,'2.3 Adq. de otras energías'!$AE$16:$AE$24,"-")</f>
        <v>CNE BNE 2020</v>
      </c>
      <c r="L408" s="768" t="str" cm="1">
        <f t="array" ref="L408">_xlfn.XLOOKUP(E408&amp;G408,'2.3 Adq. de otras energías'!$B$16:$B$24&amp;'2.3 Adq. de otras energías'!$F$16:$F$24,'2.3 Adq. de otras energías'!$AF$16:$AF$24,"-")</f>
        <v>-</v>
      </c>
    </row>
    <row r="409" spans="2:12" ht="28.8">
      <c r="B409" s="764" t="s">
        <v>198</v>
      </c>
      <c r="C409" s="764" t="s">
        <v>46</v>
      </c>
      <c r="D409" s="764" t="s">
        <v>209</v>
      </c>
      <c r="E409" s="764" t="s">
        <v>114</v>
      </c>
      <c r="F409" s="764" t="s">
        <v>102</v>
      </c>
      <c r="G409" s="764" t="s">
        <v>104</v>
      </c>
      <c r="H409" s="765" cm="1">
        <f t="array" ref="H409">_xlfn.XLOOKUP(E409&amp;G409,'2.3 Adq. de otras energías'!$B$16:$B$24&amp;'2.3 Adq. de otras energías'!$F$16:$F$24,'2.3 Adq. de otras energías'!$AB$16:$AB$24,"-")</f>
        <v>1.5837152033637003</v>
      </c>
      <c r="I409" s="764" t="str" cm="1">
        <f t="array" ref="I409">_xlfn.XLOOKUP(E409&amp;G409,'2.3 Adq. de otras energías'!$B$16:$B$24&amp;'2.3 Adq. de otras energías'!$F$16:$F$24,'2.3 Adq. de otras energías'!$AC$16:$AC$24,"-")</f>
        <v>kgCO2e/litros</v>
      </c>
      <c r="J409" s="764" t="str" cm="1">
        <f t="array" ref="J409">_xlfn.XLOOKUP(E409&amp;G409,'2.3 Adq. de otras energías'!$B$16:$B$24&amp;'2.3 Adq. de otras energías'!$F$16:$F$24,'2.3 Adq. de otras energías'!$AD$16:$AD$24,"-")</f>
        <v>IPCC 2006 (vol2; chapter 2) , Table 2.2</v>
      </c>
      <c r="K409" s="764" t="str" cm="1">
        <f t="array" ref="K409">_xlfn.XLOOKUP(E409&amp;G409,'2.3 Adq. de otras energías'!$B$16:$B$24&amp;'2.3 Adq. de otras energías'!$F$16:$F$24,'2.3 Adq. de otras energías'!$AE$16:$AE$24,"-")</f>
        <v>CNE BNE 2020</v>
      </c>
      <c r="L409" s="768" t="str" cm="1">
        <f t="array" ref="L409">_xlfn.XLOOKUP(E409&amp;G409,'2.3 Adq. de otras energías'!$B$16:$B$24&amp;'2.3 Adq. de otras energías'!$F$16:$F$24,'2.3 Adq. de otras energías'!$AF$16:$AF$24,"-")</f>
        <v>-</v>
      </c>
    </row>
    <row r="410" spans="2:12" ht="28.8">
      <c r="B410" s="764" t="s">
        <v>198</v>
      </c>
      <c r="C410" s="764" t="s">
        <v>46</v>
      </c>
      <c r="D410" s="764" t="s">
        <v>209</v>
      </c>
      <c r="E410" s="764" t="s">
        <v>115</v>
      </c>
      <c r="F410" s="764" t="s">
        <v>102</v>
      </c>
      <c r="G410" s="764" t="s">
        <v>103</v>
      </c>
      <c r="H410" s="765" cm="1">
        <f t="array" ref="H410">_xlfn.XLOOKUP(E410&amp;G410,'2.3 Adq. de otras energías'!$B$16:$B$24&amp;'2.3 Adq. de otras energías'!$F$16:$F$24,'2.3 Adq. de otras energías'!$AB$16:$AB$24,"-")</f>
        <v>1.9765265918981403</v>
      </c>
      <c r="I410" s="764" t="str" cm="1">
        <f t="array" ref="I410">_xlfn.XLOOKUP(E410&amp;G410,'2.3 Adq. de otras energías'!$B$16:$B$24&amp;'2.3 Adq. de otras energías'!$F$16:$F$24,'2.3 Adq. de otras energías'!$AC$16:$AC$24,"-")</f>
        <v>kgCO2e/metros cúbicos</v>
      </c>
      <c r="J410" s="764" t="str" cm="1">
        <f t="array" ref="J410">_xlfn.XLOOKUP(E410&amp;G410,'2.3 Adq. de otras energías'!$B$16:$B$24&amp;'2.3 Adq. de otras energías'!$F$16:$F$24,'2.3 Adq. de otras energías'!$AD$16:$AD$24,"-")</f>
        <v>IPCC 2006 (vol2; chapter 2) , Table 2.2</v>
      </c>
      <c r="K410" s="764" t="str" cm="1">
        <f t="array" ref="K410">_xlfn.XLOOKUP(E410&amp;G410,'2.3 Adq. de otras energías'!$B$16:$B$24&amp;'2.3 Adq. de otras energías'!$F$16:$F$24,'2.3 Adq. de otras energías'!$AE$16:$AE$24,"-")</f>
        <v>CNE BNE 2020</v>
      </c>
      <c r="L410" s="768" t="str" cm="1">
        <f t="array" ref="L410">_xlfn.XLOOKUP(E410&amp;G410,'2.3 Adq. de otras energías'!$B$16:$B$24&amp;'2.3 Adq. de otras energías'!$F$16:$F$24,'2.3 Adq. de otras energías'!$AF$16:$AF$24,"-")</f>
        <v>DEFRA 2023 (Fuel properties), Natural Gas</v>
      </c>
    </row>
    <row r="411" spans="2:12" ht="28.8">
      <c r="B411" s="764" t="s">
        <v>198</v>
      </c>
      <c r="C411" s="764" t="s">
        <v>46</v>
      </c>
      <c r="D411" s="764" t="s">
        <v>209</v>
      </c>
      <c r="E411" s="764" t="s">
        <v>110</v>
      </c>
      <c r="F411" s="764" t="s">
        <v>102</v>
      </c>
      <c r="G411" s="764" t="s">
        <v>103</v>
      </c>
      <c r="H411" s="765" cm="1">
        <f t="array" ref="H411">_xlfn.XLOOKUP(E411&amp;G411,'2.3 Adq. de otras energías'!$B$16:$B$24&amp;'2.3 Adq. de otras energías'!$F$16:$F$24,'2.3 Adq. de otras energías'!$AB$16:$AB$24,"-")</f>
        <v>2261.5183983772799</v>
      </c>
      <c r="I411" s="764" t="str" cm="1">
        <f t="array" ref="I411">_xlfn.XLOOKUP(E411&amp;G411,'2.3 Adq. de otras energías'!$B$16:$B$24&amp;'2.3 Adq. de otras energías'!$F$16:$F$24,'2.3 Adq. de otras energías'!$AC$16:$AC$24,"-")</f>
        <v>kgCO2e/metros cúbicos</v>
      </c>
      <c r="J411" s="764" t="str" cm="1">
        <f t="array" ref="J411">_xlfn.XLOOKUP(E411&amp;G411,'2.3 Adq. de otras energías'!$B$16:$B$24&amp;'2.3 Adq. de otras energías'!$F$16:$F$24,'2.3 Adq. de otras energías'!$AD$16:$AD$24,"-")</f>
        <v>IPCC 2006 (vol2; chapter 2) , Table 2.2</v>
      </c>
      <c r="K411" s="764" t="str" cm="1">
        <f t="array" ref="K411">_xlfn.XLOOKUP(E411&amp;G411,'2.3 Adq. de otras energías'!$B$16:$B$24&amp;'2.3 Adq. de otras energías'!$F$16:$F$24,'2.3 Adq. de otras energías'!$AE$16:$AE$24,"-")</f>
        <v>CNE BNE 2020</v>
      </c>
      <c r="L411" s="768" t="str" cm="1">
        <f t="array" ref="L411">_xlfn.XLOOKUP(E411&amp;G411,'2.3 Adq. de otras energías'!$B$16:$B$24&amp;'2.3 Adq. de otras energías'!$F$16:$F$24,'2.3 Adq. de otras energías'!$AF$16:$AF$24,"-")</f>
        <v>-</v>
      </c>
    </row>
    <row r="412" spans="2:12" ht="28.8">
      <c r="B412" s="764" t="s">
        <v>198</v>
      </c>
      <c r="C412" s="764" t="s">
        <v>46</v>
      </c>
      <c r="D412" s="764" t="s">
        <v>209</v>
      </c>
      <c r="E412" s="764" t="s">
        <v>110</v>
      </c>
      <c r="F412" s="764" t="s">
        <v>102</v>
      </c>
      <c r="G412" s="764" t="s">
        <v>104</v>
      </c>
      <c r="H412" s="765" cm="1">
        <f t="array" ref="H412">_xlfn.XLOOKUP(E412&amp;G412,'2.3 Adq. de otras energías'!$B$16:$B$24&amp;'2.3 Adq. de otras energías'!$F$16:$F$24,'2.3 Adq. de otras energías'!$AB$16:$AB$24,"-")</f>
        <v>2.2615183983772802</v>
      </c>
      <c r="I412" s="764" t="str" cm="1">
        <f t="array" ref="I412">_xlfn.XLOOKUP(E412&amp;G412,'2.3 Adq. de otras energías'!$B$16:$B$24&amp;'2.3 Adq. de otras energías'!$F$16:$F$24,'2.3 Adq. de otras energías'!$AC$16:$AC$24,"-")</f>
        <v>kgCO2e/litros</v>
      </c>
      <c r="J412" s="764" t="str" cm="1">
        <f t="array" ref="J412">_xlfn.XLOOKUP(E412&amp;G412,'2.3 Adq. de otras energías'!$B$16:$B$24&amp;'2.3 Adq. de otras energías'!$F$16:$F$24,'2.3 Adq. de otras energías'!$AD$16:$AD$24,"-")</f>
        <v>IPCC 2006 (vol2; chapter 2) , Table 2.2</v>
      </c>
      <c r="K412" s="764" t="str" cm="1">
        <f t="array" ref="K412">_xlfn.XLOOKUP(E412&amp;G412,'2.3 Adq. de otras energías'!$B$16:$B$24&amp;'2.3 Adq. de otras energías'!$F$16:$F$24,'2.3 Adq. de otras energías'!$AE$16:$AE$24,"-")</f>
        <v>CNE BNE 2020</v>
      </c>
      <c r="L412" s="768" t="str" cm="1">
        <f t="array" ref="L412">_xlfn.XLOOKUP(E412&amp;G412,'2.3 Adq. de otras energías'!$B$16:$B$24&amp;'2.3 Adq. de otras energías'!$F$16:$F$24,'2.3 Adq. de otras energías'!$AF$16:$AF$24,"-")</f>
        <v>-</v>
      </c>
    </row>
    <row r="413" spans="2:12" ht="28.8">
      <c r="B413" s="764" t="s">
        <v>198</v>
      </c>
      <c r="C413" s="764" t="s">
        <v>46</v>
      </c>
      <c r="D413" s="764" t="s">
        <v>209</v>
      </c>
      <c r="E413" s="764" t="s">
        <v>120</v>
      </c>
      <c r="F413" s="764" t="s">
        <v>102</v>
      </c>
      <c r="G413" s="764" t="s">
        <v>103</v>
      </c>
      <c r="H413" s="765" cm="1">
        <f t="array" ref="H413">_xlfn.XLOOKUP(E413&amp;G413,'2.3 Adq. de otras energías'!$B$16:$B$24&amp;'2.3 Adq. de otras energías'!$F$16:$F$24,'2.3 Adq. de otras energías'!$AB$16:$AB$24,"-")</f>
        <v>3064.28556847455</v>
      </c>
      <c r="I413" s="764" t="str" cm="1">
        <f t="array" ref="I413">_xlfn.XLOOKUP(E413&amp;G413,'2.3 Adq. de otras energías'!$B$16:$B$24&amp;'2.3 Adq. de otras energías'!$F$16:$F$24,'2.3 Adq. de otras energías'!$AC$16:$AC$24,"-")</f>
        <v>kgCO2e/metros cúbicos</v>
      </c>
      <c r="J413" s="764" t="str" cm="1">
        <f t="array" ref="J413">_xlfn.XLOOKUP(E413&amp;G413,'2.3 Adq. de otras energías'!$B$16:$B$24&amp;'2.3 Adq. de otras energías'!$F$16:$F$24,'2.3 Adq. de otras energías'!$AD$16:$AD$24,"-")</f>
        <v>IPCC 2006 (vol2; chapter 2) , Table 2.2</v>
      </c>
      <c r="K413" s="764" t="str" cm="1">
        <f t="array" ref="K413">_xlfn.XLOOKUP(E413&amp;G413,'2.3 Adq. de otras energías'!$B$16:$B$24&amp;'2.3 Adq. de otras energías'!$F$16:$F$24,'2.3 Adq. de otras energías'!$AE$16:$AE$24,"-")</f>
        <v>CNE BNE 2020</v>
      </c>
      <c r="L413" s="768" t="str" cm="1">
        <f t="array" ref="L413">_xlfn.XLOOKUP(E413&amp;G413,'2.3 Adq. de otras energías'!$B$16:$B$24&amp;'2.3 Adq. de otras energías'!$F$16:$F$24,'2.3 Adq. de otras energías'!$AF$16:$AF$24,"-")</f>
        <v>-</v>
      </c>
    </row>
    <row r="414" spans="2:12" ht="28.8">
      <c r="B414" s="764" t="s">
        <v>198</v>
      </c>
      <c r="C414" s="764" t="s">
        <v>46</v>
      </c>
      <c r="D414" s="764" t="s">
        <v>209</v>
      </c>
      <c r="E414" s="764" t="s">
        <v>120</v>
      </c>
      <c r="F414" s="764" t="s">
        <v>102</v>
      </c>
      <c r="G414" s="764" t="s">
        <v>104</v>
      </c>
      <c r="H414" s="765" cm="1">
        <f t="array" ref="H414">_xlfn.XLOOKUP(E414&amp;G414,'2.3 Adq. de otras energías'!$B$16:$B$24&amp;'2.3 Adq. de otras energías'!$F$16:$F$24,'2.3 Adq. de otras energías'!$AB$16:$AB$24,"-")</f>
        <v>3.06428556847455</v>
      </c>
      <c r="I414" s="764" t="str" cm="1">
        <f t="array" ref="I414">_xlfn.XLOOKUP(E414&amp;G414,'2.3 Adq. de otras energías'!$B$16:$B$24&amp;'2.3 Adq. de otras energías'!$F$16:$F$24,'2.3 Adq. de otras energías'!$AC$16:$AC$24,"-")</f>
        <v>kgCO2e/litros</v>
      </c>
      <c r="J414" s="764" t="str" cm="1">
        <f t="array" ref="J414">_xlfn.XLOOKUP(E414&amp;G414,'2.3 Adq. de otras energías'!$B$16:$B$24&amp;'2.3 Adq. de otras energías'!$F$16:$F$24,'2.3 Adq. de otras energías'!$AD$16:$AD$24,"-")</f>
        <v>IPCC 2006 (vol2; chapter 2) , Table 2.2</v>
      </c>
      <c r="K414" s="764" t="str" cm="1">
        <f t="array" ref="K414">_xlfn.XLOOKUP(E414&amp;G414,'2.3 Adq. de otras energías'!$B$16:$B$24&amp;'2.3 Adq. de otras energías'!$F$16:$F$24,'2.3 Adq. de otras energías'!$AE$16:$AE$24,"-")</f>
        <v>CNE BNE 2020</v>
      </c>
      <c r="L414" s="768" t="str" cm="1">
        <f t="array" ref="L414">_xlfn.XLOOKUP(E414&amp;G414,'2.3 Adq. de otras energías'!$B$16:$B$24&amp;'2.3 Adq. de otras energías'!$F$16:$F$24,'2.3 Adq. de otras energías'!$AF$16:$AF$24,"-")</f>
        <v>-</v>
      </c>
    </row>
    <row r="415" spans="2:12">
      <c r="B415" s="764" t="s">
        <v>210</v>
      </c>
      <c r="C415" s="764" t="s">
        <v>50</v>
      </c>
      <c r="D415" s="764" t="s">
        <v>211</v>
      </c>
      <c r="E415" s="764" t="s">
        <v>212</v>
      </c>
      <c r="F415" s="764" t="s">
        <v>102</v>
      </c>
      <c r="G415" s="764" t="s">
        <v>106</v>
      </c>
      <c r="H415" s="765" cm="1">
        <f t="array" ref="H415">_xlfn.XLOOKUP(E415&amp;G415,'3.1 Adq. Bienes y servicios'!$B$7:$B$52&amp;'3.1 Adq. Bienes y servicios'!$E$7:$E$52,'3.1 Adq. Bienes y servicios'!$H$7:$H$52,"-")</f>
        <v>3164.7804900000001</v>
      </c>
      <c r="I415" s="764" t="str" cm="1">
        <f t="array" ref="I415">_xlfn.XLOOKUP(E415&amp;G415,'3.1 Adq. Bienes y servicios'!$B$7:$B$52&amp;'3.1 Adq. Bienes y servicios'!$E$7:$E$52,'3.1 Adq. Bienes y servicios'!$I$7:$I$52,"-")</f>
        <v>kgCO2e/toneladas</v>
      </c>
      <c r="J415" s="764" t="str" cm="1">
        <f t="array" ref="J415">_xlfn.XLOOKUP(E415&amp;G415,'3.1 Adq. Bienes y servicios'!$B$7:$B$52&amp;'3.1 Adq. Bienes y servicios'!$E$7:$E$52,'3.1 Adq. Bienes y servicios'!$J$7:$J$52,"-")</f>
        <v>DEFRA 2024, Material use</v>
      </c>
      <c r="K415" s="764" t="str" cm="1">
        <f t="array" ref="K415">_xlfn.XLOOKUP(E415&amp;G415,'3.1 Adq. Bienes y servicios'!$B$7:$B$52&amp;'3.1 Adq. Bienes y servicios'!$E$7:$E$52,'3.1 Adq. Bienes y servicios'!$K$7:$K$52,"-")</f>
        <v>-</v>
      </c>
      <c r="L415" s="768" t="s">
        <v>102</v>
      </c>
    </row>
    <row r="416" spans="2:12">
      <c r="B416" s="764" t="s">
        <v>210</v>
      </c>
      <c r="C416" s="764" t="s">
        <v>50</v>
      </c>
      <c r="D416" s="764" t="s">
        <v>211</v>
      </c>
      <c r="E416" s="764" t="s">
        <v>213</v>
      </c>
      <c r="F416" s="764" t="s">
        <v>102</v>
      </c>
      <c r="G416" s="764" t="s">
        <v>106</v>
      </c>
      <c r="H416" s="765" cm="1">
        <f t="array" ref="H416">_xlfn.XLOOKUP(E416&amp;G416,'3.1 Adq. Bienes y servicios'!$B$7:$B$52&amp;'3.1 Adq. Bienes y servicios'!$E$7:$E$52,'3.1 Adq. Bienes y servicios'!$H$7:$H$52,"-")</f>
        <v>2854.91851</v>
      </c>
      <c r="I416" s="764" t="str" cm="1">
        <f t="array" ref="I416">_xlfn.XLOOKUP(E416&amp;G416,'3.1 Adq. Bienes y servicios'!$B$7:$B$52&amp;'3.1 Adq. Bienes y servicios'!$E$7:$E$52,'3.1 Adq. Bienes y servicios'!$I$7:$I$52,"-")</f>
        <v>kgCO2e/toneladas</v>
      </c>
      <c r="J416" s="764" t="str" cm="1">
        <f t="array" ref="J416">_xlfn.XLOOKUP(E416&amp;G416,'3.1 Adq. Bienes y servicios'!$B$7:$B$52&amp;'3.1 Adq. Bienes y servicios'!$E$7:$E$52,'3.1 Adq. Bienes y servicios'!$J$7:$J$52,"-")</f>
        <v>DEFRA 2024, Material use</v>
      </c>
      <c r="K416" s="764" t="str" cm="1">
        <f t="array" ref="K416">_xlfn.XLOOKUP(E416&amp;G416,'3.1 Adq. Bienes y servicios'!$B$7:$B$52&amp;'3.1 Adq. Bienes y servicios'!$E$7:$E$52,'3.1 Adq. Bienes y servicios'!$K$7:$K$52,"-")</f>
        <v>-</v>
      </c>
      <c r="L416" s="768" t="s">
        <v>102</v>
      </c>
    </row>
    <row r="417" spans="2:12">
      <c r="B417" s="764" t="s">
        <v>210</v>
      </c>
      <c r="C417" s="764" t="s">
        <v>50</v>
      </c>
      <c r="D417" s="764" t="s">
        <v>211</v>
      </c>
      <c r="E417" s="764" t="s">
        <v>214</v>
      </c>
      <c r="F417" s="764" t="s">
        <v>102</v>
      </c>
      <c r="G417" s="764" t="s">
        <v>106</v>
      </c>
      <c r="H417" s="765" cm="1">
        <f t="array" ref="H417">_xlfn.XLOOKUP(E417&amp;G417,'3.1 Adq. Bienes y servicios'!$B$7:$B$52&amp;'3.1 Adq. Bienes y servicios'!$E$7:$E$52,'3.1 Adq. Bienes y servicios'!$H$7:$H$52,"-")</f>
        <v>1726.72731</v>
      </c>
      <c r="I417" s="764" t="str" cm="1">
        <f t="array" ref="I417">_xlfn.XLOOKUP(E417&amp;G417,'3.1 Adq. Bienes y servicios'!$B$7:$B$52&amp;'3.1 Adq. Bienes y servicios'!$E$7:$E$52,'3.1 Adq. Bienes y servicios'!$I$7:$I$52,"-")</f>
        <v>kgCO2e/toneladas</v>
      </c>
      <c r="J417" s="764" t="str" cm="1">
        <f t="array" ref="J417">_xlfn.XLOOKUP(E417&amp;G417,'3.1 Adq. Bienes y servicios'!$B$7:$B$52&amp;'3.1 Adq. Bienes y servicios'!$E$7:$E$52,'3.1 Adq. Bienes y servicios'!$J$7:$J$52,"-")</f>
        <v>DEFRA 2024, Material use</v>
      </c>
      <c r="K417" s="764" t="str" cm="1">
        <f t="array" ref="K417">_xlfn.XLOOKUP(E417&amp;G417,'3.1 Adq. Bienes y servicios'!$B$7:$B$52&amp;'3.1 Adq. Bienes y servicios'!$E$7:$E$52,'3.1 Adq. Bienes y servicios'!$K$7:$K$52,"-")</f>
        <v>-</v>
      </c>
      <c r="L417" s="768" t="s">
        <v>102</v>
      </c>
    </row>
    <row r="418" spans="2:12" ht="28.8">
      <c r="B418" s="764" t="s">
        <v>210</v>
      </c>
      <c r="C418" s="764" t="s">
        <v>50</v>
      </c>
      <c r="D418" s="764" t="s">
        <v>211</v>
      </c>
      <c r="E418" s="764" t="s">
        <v>215</v>
      </c>
      <c r="F418" s="764" t="s">
        <v>102</v>
      </c>
      <c r="G418" s="764" t="s">
        <v>106</v>
      </c>
      <c r="H418" s="765" cm="1">
        <f t="array" ref="H418">_xlfn.XLOOKUP(E418&amp;G418,'3.1 Adq. Bienes y servicios'!$B$7:$B$52&amp;'3.1 Adq. Bienes y servicios'!$E$7:$E$52,'3.1 Adq. Bienes y servicios'!$H$7:$H$52,"-")</f>
        <v>9106.9185099999995</v>
      </c>
      <c r="I418" s="764" t="str" cm="1">
        <f t="array" ref="I418">_xlfn.XLOOKUP(E418&amp;G418,'3.1 Adq. Bienes y servicios'!$B$7:$B$52&amp;'3.1 Adq. Bienes y servicios'!$E$7:$E$52,'3.1 Adq. Bienes y servicios'!$I$7:$I$52,"-")</f>
        <v>kgCO2e/toneladas</v>
      </c>
      <c r="J418" s="764" t="str" cm="1">
        <f t="array" ref="J418">_xlfn.XLOOKUP(E418&amp;G418,'3.1 Adq. Bienes y servicios'!$B$7:$B$52&amp;'3.1 Adq. Bienes y servicios'!$E$7:$E$52,'3.1 Adq. Bienes y servicios'!$J$7:$J$52,"-")</f>
        <v>DEFRA 2024, Material use</v>
      </c>
      <c r="K418" s="764" t="str" cm="1">
        <f t="array" ref="K418">_xlfn.XLOOKUP(E418&amp;G418,'3.1 Adq. Bienes y servicios'!$B$7:$B$52&amp;'3.1 Adq. Bienes y servicios'!$E$7:$E$52,'3.1 Adq. Bienes y servicios'!$K$7:$K$52,"-")</f>
        <v>-</v>
      </c>
      <c r="L418" s="768" t="s">
        <v>102</v>
      </c>
    </row>
    <row r="419" spans="2:12" ht="28.8">
      <c r="B419" s="764" t="s">
        <v>210</v>
      </c>
      <c r="C419" s="764" t="s">
        <v>50</v>
      </c>
      <c r="D419" s="764" t="s">
        <v>211</v>
      </c>
      <c r="E419" s="764" t="s">
        <v>216</v>
      </c>
      <c r="F419" s="764" t="s">
        <v>102</v>
      </c>
      <c r="G419" s="764" t="s">
        <v>107</v>
      </c>
      <c r="H419" s="765" cm="1">
        <f t="array" ref="H419">_xlfn.XLOOKUP(E419&amp;G419,'3.1 Adq. Bienes y servicios'!$B$7:$B$52&amp;'3.1 Adq. Bienes y servicios'!$E$7:$E$52,'3.1 Adq. Bienes y servicios'!$H$7:$H$52,"-")</f>
        <v>2.1339999999999999</v>
      </c>
      <c r="I419" s="764" t="str" cm="1">
        <f t="array" ref="I419">_xlfn.XLOOKUP(E419&amp;G419,'3.1 Adq. Bienes y servicios'!$B$7:$B$52&amp;'3.1 Adq. Bienes y servicios'!$E$7:$E$52,'3.1 Adq. Bienes y servicios'!$I$7:$I$52,"-")</f>
        <v>kgCO2e/kilogramos</v>
      </c>
      <c r="J419" s="764" t="str" cm="1">
        <f t="array" ref="J419">_xlfn.XLOOKUP(E419&amp;G419,'3.1 Adq. Bienes y servicios'!$B$7:$B$52&amp;'3.1 Adq. Bienes y servicios'!$E$7:$E$52,'3.1 Adq. Bienes y servicios'!$J$7:$J$52,"-")</f>
        <v>-</v>
      </c>
      <c r="K419" s="764" t="str" cm="1">
        <f t="array" ref="K419">_xlfn.XLOOKUP(E419&amp;G419,'3.1 Adq. Bienes y servicios'!$B$7:$B$52&amp;'3.1 Adq. Bienes y servicios'!$E$7:$E$52,'3.1 Adq. Bienes y servicios'!$K$7:$K$52,"-")</f>
        <v>The carbon footprint of fertiliser production: Regional Reference Values, International Fertiliser Society, 2019</v>
      </c>
      <c r="L419" s="768" t="s">
        <v>102</v>
      </c>
    </row>
    <row r="420" spans="2:12" ht="28.8">
      <c r="B420" s="764" t="s">
        <v>210</v>
      </c>
      <c r="C420" s="764" t="s">
        <v>50</v>
      </c>
      <c r="D420" s="764" t="s">
        <v>211</v>
      </c>
      <c r="E420" s="764" t="s">
        <v>217</v>
      </c>
      <c r="F420" s="764" t="s">
        <v>102</v>
      </c>
      <c r="G420" s="764" t="s">
        <v>107</v>
      </c>
      <c r="H420" s="765" cm="1">
        <f t="array" ref="H420">_xlfn.XLOOKUP(E420&amp;G420,'3.1 Adq. Bienes y servicios'!$B$7:$B$52&amp;'3.1 Adq. Bienes y servicios'!$E$7:$E$52,'3.1 Adq. Bienes y servicios'!$H$7:$H$52,"-")</f>
        <v>1.7583</v>
      </c>
      <c r="I420" s="764" t="str" cm="1">
        <f t="array" ref="I420">_xlfn.XLOOKUP(E420&amp;G420,'3.1 Adq. Bienes y servicios'!$B$7:$B$52&amp;'3.1 Adq. Bienes y servicios'!$E$7:$E$52,'3.1 Adq. Bienes y servicios'!$I$7:$I$52,"-")</f>
        <v>kgCO2e/kilogramos</v>
      </c>
      <c r="J420" s="764" t="str" cm="1">
        <f t="array" ref="J420">_xlfn.XLOOKUP(E420&amp;G420,'3.1 Adq. Bienes y servicios'!$B$7:$B$52&amp;'3.1 Adq. Bienes y servicios'!$E$7:$E$52,'3.1 Adq. Bienes y servicios'!$J$7:$J$52,"-")</f>
        <v>-</v>
      </c>
      <c r="K420" s="764" t="str" cm="1">
        <f t="array" ref="K420">_xlfn.XLOOKUP(E420&amp;G420,'3.1 Adq. Bienes y servicios'!$B$7:$B$52&amp;'3.1 Adq. Bienes y servicios'!$E$7:$E$52,'3.1 Adq. Bienes y servicios'!$K$7:$K$52,"-")</f>
        <v>Wood, S. and Cowie, A. A Review of Greenhouse Gas Emission Factors for Fertiliser Production. 2004</v>
      </c>
      <c r="L420" s="768" t="s">
        <v>102</v>
      </c>
    </row>
    <row r="421" spans="2:12" ht="28.8">
      <c r="B421" s="764" t="s">
        <v>210</v>
      </c>
      <c r="C421" s="764" t="s">
        <v>50</v>
      </c>
      <c r="D421" s="764" t="s">
        <v>211</v>
      </c>
      <c r="E421" s="764" t="s">
        <v>218</v>
      </c>
      <c r="F421" s="764" t="s">
        <v>102</v>
      </c>
      <c r="G421" s="764" t="s">
        <v>107</v>
      </c>
      <c r="H421" s="765" cm="1">
        <f t="array" ref="H421">_xlfn.XLOOKUP(E421&amp;G421,'3.1 Adq. Bienes y servicios'!$B$7:$B$52&amp;'3.1 Adq. Bienes y servicios'!$E$7:$E$52,'3.1 Adq. Bienes y servicios'!$H$7:$H$52,"-")</f>
        <v>1.0129999999999999</v>
      </c>
      <c r="I421" s="764" t="str" cm="1">
        <f t="array" ref="I421">_xlfn.XLOOKUP(E421&amp;G421,'3.1 Adq. Bienes y servicios'!$B$7:$B$52&amp;'3.1 Adq. Bienes y servicios'!$E$7:$E$52,'3.1 Adq. Bienes y servicios'!$I$7:$I$52,"-")</f>
        <v>kgCO2e/kilogramos</v>
      </c>
      <c r="J421" s="764" t="str" cm="1">
        <f t="array" ref="J421">_xlfn.XLOOKUP(E421&amp;G421,'3.1 Adq. Bienes y servicios'!$B$7:$B$52&amp;'3.1 Adq. Bienes y servicios'!$E$7:$E$52,'3.1 Adq. Bienes y servicios'!$J$7:$J$52,"-")</f>
        <v>-</v>
      </c>
      <c r="K421" s="764" t="str" cm="1">
        <f t="array" ref="K421">_xlfn.XLOOKUP(E421&amp;G421,'3.1 Adq. Bienes y servicios'!$B$7:$B$52&amp;'3.1 Adq. Bienes y servicios'!$E$7:$E$52,'3.1 Adq. Bienes y servicios'!$K$7:$K$52,"-")</f>
        <v>The carbon footprint of fertiliser production: Regional Reference Values, International Fertiliser Society, 2019</v>
      </c>
      <c r="L421" s="768" t="s">
        <v>102</v>
      </c>
    </row>
    <row r="422" spans="2:12" ht="28.8">
      <c r="B422" s="764" t="s">
        <v>210</v>
      </c>
      <c r="C422" s="764" t="s">
        <v>50</v>
      </c>
      <c r="D422" s="764" t="s">
        <v>211</v>
      </c>
      <c r="E422" s="764" t="s">
        <v>219</v>
      </c>
      <c r="F422" s="764" t="s">
        <v>102</v>
      </c>
      <c r="G422" s="764" t="s">
        <v>107</v>
      </c>
      <c r="H422" s="765" cm="1">
        <f t="array" ref="H422">_xlfn.XLOOKUP(E422&amp;G422,'3.1 Adq. Bienes y servicios'!$B$7:$B$52&amp;'3.1 Adq. Bienes y servicios'!$E$7:$E$52,'3.1 Adq. Bienes y servicios'!$H$7:$H$52,"-")</f>
        <v>0.33939999999999998</v>
      </c>
      <c r="I422" s="764" t="str" cm="1">
        <f t="array" ref="I422">_xlfn.XLOOKUP(E422&amp;G422,'3.1 Adq. Bienes y servicios'!$B$7:$B$52&amp;'3.1 Adq. Bienes y servicios'!$E$7:$E$52,'3.1 Adq. Bienes y servicios'!$I$7:$I$52,"-")</f>
        <v>kgCO2e/kilogramos</v>
      </c>
      <c r="J422" s="764" t="str" cm="1">
        <f t="array" ref="J422">_xlfn.XLOOKUP(E422&amp;G422,'3.1 Adq. Bienes y servicios'!$B$7:$B$52&amp;'3.1 Adq. Bienes y servicios'!$E$7:$E$52,'3.1 Adq. Bienes y servicios'!$J$7:$J$52,"-")</f>
        <v>-</v>
      </c>
      <c r="K422" s="764" t="str" cm="1">
        <f t="array" ref="K422">_xlfn.XLOOKUP(E422&amp;G422,'3.1 Adq. Bienes y servicios'!$B$7:$B$52&amp;'3.1 Adq. Bienes y servicios'!$E$7:$E$52,'3.1 Adq. Bienes y servicios'!$K$7:$K$52,"-")</f>
        <v>Wood, S. and Cowie, A. A Review of Greenhouse Gas Emission Factors for Fertiliser Production. 2004</v>
      </c>
      <c r="L422" s="768" t="s">
        <v>102</v>
      </c>
    </row>
    <row r="423" spans="2:12" ht="28.8">
      <c r="B423" s="764" t="s">
        <v>210</v>
      </c>
      <c r="C423" s="764" t="s">
        <v>50</v>
      </c>
      <c r="D423" s="764" t="s">
        <v>211</v>
      </c>
      <c r="E423" s="764" t="s">
        <v>220</v>
      </c>
      <c r="F423" s="764" t="s">
        <v>102</v>
      </c>
      <c r="G423" s="764" t="s">
        <v>107</v>
      </c>
      <c r="H423" s="765" cm="1">
        <f t="array" ref="H423">_xlfn.XLOOKUP(E423&amp;G423,'3.1 Adq. Bienes y servicios'!$B$7:$B$52&amp;'3.1 Adq. Bienes y servicios'!$E$7:$E$52,'3.1 Adq. Bienes y servicios'!$H$7:$H$52,"-")</f>
        <v>0.54410000000000003</v>
      </c>
      <c r="I423" s="764" t="str" cm="1">
        <f t="array" ref="I423">_xlfn.XLOOKUP(E423&amp;G423,'3.1 Adq. Bienes y servicios'!$B$7:$B$52&amp;'3.1 Adq. Bienes y servicios'!$E$7:$E$52,'3.1 Adq. Bienes y servicios'!$I$7:$I$52,"-")</f>
        <v>kgCO2e/kilogramos</v>
      </c>
      <c r="J423" s="764" t="str" cm="1">
        <f t="array" ref="J423">_xlfn.XLOOKUP(E423&amp;G423,'3.1 Adq. Bienes y servicios'!$B$7:$B$52&amp;'3.1 Adq. Bienes y servicios'!$E$7:$E$52,'3.1 Adq. Bienes y servicios'!$J$7:$J$52,"-")</f>
        <v>-</v>
      </c>
      <c r="K423" s="764" t="str" cm="1">
        <f t="array" ref="K423">_xlfn.XLOOKUP(E423&amp;G423,'3.1 Adq. Bienes y servicios'!$B$7:$B$52&amp;'3.1 Adq. Bienes y servicios'!$E$7:$E$52,'3.1 Adq. Bienes y servicios'!$K$7:$K$52,"-")</f>
        <v>Wood, S. and Cowie, A. A Review of Greenhouse Gas Emission Factors for Fertiliser Production. 2004</v>
      </c>
      <c r="L423" s="768" t="s">
        <v>102</v>
      </c>
    </row>
    <row r="424" spans="2:12" ht="28.8">
      <c r="B424" s="764" t="s">
        <v>210</v>
      </c>
      <c r="C424" s="764" t="s">
        <v>50</v>
      </c>
      <c r="D424" s="764" t="s">
        <v>211</v>
      </c>
      <c r="E424" s="764" t="s">
        <v>221</v>
      </c>
      <c r="F424" s="764" t="s">
        <v>102</v>
      </c>
      <c r="G424" s="764" t="s">
        <v>106</v>
      </c>
      <c r="H424" s="765" cm="1">
        <f t="array" ref="H424">_xlfn.XLOOKUP(E424&amp;G424,'3.1 Adq. Bienes y servicios'!$B$7:$B$52&amp;'3.1 Adq. Bienes y servicios'!$E$7:$E$52,'3.1 Adq. Bienes y servicios'!$H$7:$H$52,"-")</f>
        <v>2910.4652900000001</v>
      </c>
      <c r="I424" s="764" t="str" cm="1">
        <f t="array" ref="I424">_xlfn.XLOOKUP(E424&amp;G424,'3.1 Adq. Bienes y servicios'!$B$7:$B$52&amp;'3.1 Adq. Bienes y servicios'!$E$7:$E$52,'3.1 Adq. Bienes y servicios'!$I$7:$I$52,"-")</f>
        <v>kgCO2e/toneladas</v>
      </c>
      <c r="J424" s="764" t="str" cm="1">
        <f t="array" ref="J424">_xlfn.XLOOKUP(E424&amp;G424,'3.1 Adq. Bienes y servicios'!$B$7:$B$52&amp;'3.1 Adq. Bienes y servicios'!$E$7:$E$52,'3.1 Adq. Bienes y servicios'!$J$7:$J$52,"-")</f>
        <v>DEFRA 2024, Material use</v>
      </c>
      <c r="K424" s="764" t="str" cm="1">
        <f t="array" ref="K424">_xlfn.XLOOKUP(E424&amp;G424,'3.1 Adq. Bienes y servicios'!$B$7:$B$52&amp;'3.1 Adq. Bienes y servicios'!$E$7:$E$52,'3.1 Adq. Bienes y servicios'!$K$7:$K$52,"-")</f>
        <v>-</v>
      </c>
      <c r="L424" s="768" t="s">
        <v>102</v>
      </c>
    </row>
    <row r="425" spans="2:12">
      <c r="B425" s="764" t="s">
        <v>210</v>
      </c>
      <c r="C425" s="764" t="s">
        <v>50</v>
      </c>
      <c r="D425" s="764" t="s">
        <v>211</v>
      </c>
      <c r="E425" s="764" t="s">
        <v>222</v>
      </c>
      <c r="F425" s="764" t="s">
        <v>102</v>
      </c>
      <c r="G425" s="764" t="s">
        <v>106</v>
      </c>
      <c r="H425" s="765" cm="1">
        <f t="array" ref="H425">_xlfn.XLOOKUP(E425&amp;G425,'3.1 Adq. Bienes y servicios'!$B$7:$B$52&amp;'3.1 Adq. Bienes y servicios'!$E$7:$E$52,'3.1 Adq. Bienes y servicios'!$H$7:$H$52,"-")</f>
        <v>3345.3083700000002</v>
      </c>
      <c r="I425" s="764" t="str" cm="1">
        <f t="array" ref="I425">_xlfn.XLOOKUP(E425&amp;G425,'3.1 Adq. Bienes y servicios'!$B$7:$B$52&amp;'3.1 Adq. Bienes y servicios'!$E$7:$E$52,'3.1 Adq. Bienes y servicios'!$I$7:$I$52,"-")</f>
        <v>kgCO2e/toneladas</v>
      </c>
      <c r="J425" s="764" t="str" cm="1">
        <f t="array" ref="J425">_xlfn.XLOOKUP(E425&amp;G425,'3.1 Adq. Bienes y servicios'!$B$7:$B$52&amp;'3.1 Adq. Bienes y servicios'!$E$7:$E$52,'3.1 Adq. Bienes y servicios'!$J$7:$J$52,"-")</f>
        <v>DEFRA 2024, Material use</v>
      </c>
      <c r="K425" s="764" t="str" cm="1">
        <f t="array" ref="K425">_xlfn.XLOOKUP(E425&amp;G425,'3.1 Adq. Bienes y servicios'!$B$7:$B$52&amp;'3.1 Adq. Bienes y servicios'!$E$7:$E$52,'3.1 Adq. Bienes y servicios'!$K$7:$K$52,"-")</f>
        <v>-</v>
      </c>
      <c r="L425" s="768" t="s">
        <v>102</v>
      </c>
    </row>
    <row r="426" spans="2:12" ht="28.8">
      <c r="B426" s="764" t="s">
        <v>210</v>
      </c>
      <c r="C426" s="764" t="s">
        <v>50</v>
      </c>
      <c r="D426" s="764" t="s">
        <v>211</v>
      </c>
      <c r="E426" s="764" t="s">
        <v>223</v>
      </c>
      <c r="F426" s="764" t="s">
        <v>102</v>
      </c>
      <c r="G426" s="764" t="s">
        <v>106</v>
      </c>
      <c r="H426" s="765" cm="1">
        <f t="array" ref="H426">_xlfn.XLOOKUP(E426&amp;G426,'3.1 Adq. Bienes y servicios'!$B$7:$B$52&amp;'3.1 Adq. Bienes y servicios'!$E$7:$E$52,'3.1 Adq. Bienes y servicios'!$H$7:$H$52,"-")</f>
        <v>3086.3903799999998</v>
      </c>
      <c r="I426" s="764" t="str" cm="1">
        <f t="array" ref="I426">_xlfn.XLOOKUP(E426&amp;G426,'3.1 Adq. Bienes y servicios'!$B$7:$B$52&amp;'3.1 Adq. Bienes y servicios'!$E$7:$E$52,'3.1 Adq. Bienes y servicios'!$I$7:$I$52,"-")</f>
        <v>kgCO2e/toneladas</v>
      </c>
      <c r="J426" s="764" t="str" cm="1">
        <f t="array" ref="J426">_xlfn.XLOOKUP(E426&amp;G426,'3.1 Adq. Bienes y servicios'!$B$7:$B$52&amp;'3.1 Adq. Bienes y servicios'!$E$7:$E$52,'3.1 Adq. Bienes y servicios'!$J$7:$J$52,"-")</f>
        <v>DEFRA 2024, Material use</v>
      </c>
      <c r="K426" s="764" t="str" cm="1">
        <f t="array" ref="K426">_xlfn.XLOOKUP(E426&amp;G426,'3.1 Adq. Bienes y servicios'!$B$7:$B$52&amp;'3.1 Adq. Bienes y servicios'!$E$7:$E$52,'3.1 Adq. Bienes y servicios'!$K$7:$K$52,"-")</f>
        <v>-</v>
      </c>
      <c r="L426" s="768" t="s">
        <v>102</v>
      </c>
    </row>
    <row r="427" spans="2:12" ht="43.2">
      <c r="B427" s="764" t="s">
        <v>210</v>
      </c>
      <c r="C427" s="764" t="s">
        <v>50</v>
      </c>
      <c r="D427" s="764" t="s">
        <v>211</v>
      </c>
      <c r="E427" s="764" t="s">
        <v>224</v>
      </c>
      <c r="F427" s="764" t="s">
        <v>102</v>
      </c>
      <c r="G427" s="764" t="s">
        <v>106</v>
      </c>
      <c r="H427" s="765" cm="1">
        <f t="array" ref="H427">_xlfn.XLOOKUP(E427&amp;G427,'3.1 Adq. Bienes y servicios'!$B$7:$B$52&amp;'3.1 Adq. Bienes y servicios'!$E$7:$E$52,'3.1 Adq. Bienes y servicios'!$H$7:$H$52,"-")</f>
        <v>2959.3183399999998</v>
      </c>
      <c r="I427" s="764" t="str" cm="1">
        <f t="array" ref="I427">_xlfn.XLOOKUP(E427&amp;G427,'3.1 Adq. Bienes y servicios'!$B$7:$B$52&amp;'3.1 Adq. Bienes y servicios'!$E$7:$E$52,'3.1 Adq. Bienes y servicios'!$I$7:$I$52,"-")</f>
        <v>kgCO2e/toneladas</v>
      </c>
      <c r="J427" s="764" t="str" cm="1">
        <f t="array" ref="J427">_xlfn.XLOOKUP(E427&amp;G427,'3.1 Adq. Bienes y servicios'!$B$7:$B$52&amp;'3.1 Adq. Bienes y servicios'!$E$7:$E$52,'3.1 Adq. Bienes y servicios'!$J$7:$J$52,"-")</f>
        <v>DEFRA 2024, Material use</v>
      </c>
      <c r="K427" s="764" t="str" cm="1">
        <f t="array" ref="K427">_xlfn.XLOOKUP(E427&amp;G427,'3.1 Adq. Bienes y servicios'!$B$7:$B$52&amp;'3.1 Adq. Bienes y servicios'!$E$7:$E$52,'3.1 Adq. Bienes y servicios'!$K$7:$K$52,"-")</f>
        <v>-</v>
      </c>
      <c r="L427" s="768" t="s">
        <v>102</v>
      </c>
    </row>
    <row r="428" spans="2:12" ht="28.8">
      <c r="B428" s="764" t="s">
        <v>210</v>
      </c>
      <c r="C428" s="764" t="s">
        <v>50</v>
      </c>
      <c r="D428" s="764" t="s">
        <v>211</v>
      </c>
      <c r="E428" s="764" t="s">
        <v>225</v>
      </c>
      <c r="F428" s="764" t="s">
        <v>102</v>
      </c>
      <c r="G428" s="764" t="s">
        <v>106</v>
      </c>
      <c r="H428" s="765" cm="1">
        <f t="array" ref="H428">_xlfn.XLOOKUP(E428&amp;G428,'3.1 Adq. Bienes y servicios'!$B$7:$B$52&amp;'3.1 Adq. Bienes y servicios'!$E$7:$E$52,'3.1 Adq. Bienes y servicios'!$H$7:$H$52,"-")</f>
        <v>3854.91851</v>
      </c>
      <c r="I428" s="764" t="str" cm="1">
        <f t="array" ref="I428">_xlfn.XLOOKUP(E428&amp;G428,'3.1 Adq. Bienes y servicios'!$B$7:$B$52&amp;'3.1 Adq. Bienes y servicios'!$E$7:$E$52,'3.1 Adq. Bienes y servicios'!$I$7:$I$52,"-")</f>
        <v>kgCO2e/toneladas</v>
      </c>
      <c r="J428" s="764" t="str" cm="1">
        <f t="array" ref="J428">_xlfn.XLOOKUP(E428&amp;G428,'3.1 Adq. Bienes y servicios'!$B$7:$B$52&amp;'3.1 Adq. Bienes y servicios'!$E$7:$E$52,'3.1 Adq. Bienes y servicios'!$J$7:$J$52,"-")</f>
        <v>DEFRA 2024, Material use</v>
      </c>
      <c r="K428" s="764" t="str" cm="1">
        <f t="array" ref="K428">_xlfn.XLOOKUP(E428&amp;G428,'3.1 Adq. Bienes y servicios'!$B$7:$B$52&amp;'3.1 Adq. Bienes y servicios'!$E$7:$E$52,'3.1 Adq. Bienes y servicios'!$K$7:$K$52,"-")</f>
        <v>-</v>
      </c>
      <c r="L428" s="768" t="s">
        <v>102</v>
      </c>
    </row>
    <row r="429" spans="2:12" ht="28.8">
      <c r="B429" s="764" t="s">
        <v>210</v>
      </c>
      <c r="C429" s="764" t="s">
        <v>50</v>
      </c>
      <c r="D429" s="764" t="s">
        <v>211</v>
      </c>
      <c r="E429" s="764" t="s">
        <v>226</v>
      </c>
      <c r="F429" s="764" t="s">
        <v>102</v>
      </c>
      <c r="G429" s="764" t="s">
        <v>106</v>
      </c>
      <c r="H429" s="765" cm="1">
        <f t="array" ref="H429">_xlfn.XLOOKUP(E429&amp;G429,'3.1 Adq. Bienes y servicios'!$B$7:$B$52&amp;'3.1 Adq. Bienes y servicios'!$E$7:$E$52,'3.1 Adq. Bienes y servicios'!$H$7:$H$52,"-")</f>
        <v>2568.5889200000001</v>
      </c>
      <c r="I429" s="764" t="str" cm="1">
        <f t="array" ref="I429">_xlfn.XLOOKUP(E429&amp;G429,'3.1 Adq. Bienes y servicios'!$B$7:$B$52&amp;'3.1 Adq. Bienes y servicios'!$E$7:$E$52,'3.1 Adq. Bienes y servicios'!$I$7:$I$52,"-")</f>
        <v>kgCO2e/toneladas</v>
      </c>
      <c r="J429" s="764" t="str" cm="1">
        <f t="array" ref="J429">_xlfn.XLOOKUP(E429&amp;G429,'3.1 Adq. Bienes y servicios'!$B$7:$B$52&amp;'3.1 Adq. Bienes y servicios'!$E$7:$E$52,'3.1 Adq. Bienes y servicios'!$J$7:$J$52,"-")</f>
        <v>DEFRA 2024, Material use</v>
      </c>
      <c r="K429" s="764" t="str" cm="1">
        <f t="array" ref="K429">_xlfn.XLOOKUP(E429&amp;G429,'3.1 Adq. Bienes y servicios'!$B$7:$B$52&amp;'3.1 Adq. Bienes y servicios'!$E$7:$E$52,'3.1 Adq. Bienes y servicios'!$K$7:$K$52,"-")</f>
        <v>-</v>
      </c>
      <c r="L429" s="768" t="s">
        <v>102</v>
      </c>
    </row>
    <row r="430" spans="2:12">
      <c r="B430" s="764" t="s">
        <v>210</v>
      </c>
      <c r="C430" s="764" t="s">
        <v>50</v>
      </c>
      <c r="D430" s="764" t="s">
        <v>211</v>
      </c>
      <c r="E430" s="764" t="s">
        <v>227</v>
      </c>
      <c r="F430" s="764" t="s">
        <v>102</v>
      </c>
      <c r="G430" s="764" t="s">
        <v>106</v>
      </c>
      <c r="H430" s="765" cm="1">
        <f t="array" ref="H430">_xlfn.XLOOKUP(E430&amp;G430,'3.1 Adq. Bienes y servicios'!$B$7:$B$52&amp;'3.1 Adq. Bienes y servicios'!$E$7:$E$52,'3.1 Adq. Bienes y servicios'!$H$7:$H$52,"-")</f>
        <v>4367.4404800000002</v>
      </c>
      <c r="I430" s="764" t="str" cm="1">
        <f t="array" ref="I430">_xlfn.XLOOKUP(E430&amp;G430,'3.1 Adq. Bienes y servicios'!$B$7:$B$52&amp;'3.1 Adq. Bienes y servicios'!$E$7:$E$52,'3.1 Adq. Bienes y servicios'!$I$7:$I$52,"-")</f>
        <v>kgCO2e/toneladas</v>
      </c>
      <c r="J430" s="764" t="str" cm="1">
        <f t="array" ref="J430">_xlfn.XLOOKUP(E430&amp;G430,'3.1 Adq. Bienes y servicios'!$B$7:$B$52&amp;'3.1 Adq. Bienes y servicios'!$E$7:$E$52,'3.1 Adq. Bienes y servicios'!$J$7:$J$52,"-")</f>
        <v>DEFRA 2024, Material use</v>
      </c>
      <c r="K430" s="764" t="str" cm="1">
        <f t="array" ref="K430">_xlfn.XLOOKUP(E430&amp;G430,'3.1 Adq. Bienes y servicios'!$B$7:$B$52&amp;'3.1 Adq. Bienes y servicios'!$E$7:$E$52,'3.1 Adq. Bienes y servicios'!$K$7:$K$52,"-")</f>
        <v>-</v>
      </c>
      <c r="L430" s="768" t="s">
        <v>102</v>
      </c>
    </row>
    <row r="431" spans="2:12" ht="28.8">
      <c r="B431" s="764" t="s">
        <v>210</v>
      </c>
      <c r="C431" s="764" t="s">
        <v>50</v>
      </c>
      <c r="D431" s="764" t="s">
        <v>211</v>
      </c>
      <c r="E431" s="764" t="s">
        <v>228</v>
      </c>
      <c r="F431" s="764" t="s">
        <v>102</v>
      </c>
      <c r="G431" s="764" t="s">
        <v>106</v>
      </c>
      <c r="H431" s="765" cm="1">
        <f t="array" ref="H431">_xlfn.XLOOKUP(E431&amp;G431,'3.1 Adq. Bienes y servicios'!$B$7:$B$52&amp;'3.1 Adq. Bienes y servicios'!$E$7:$E$52,'3.1 Adq. Bienes y servicios'!$H$7:$H$52,"-")</f>
        <v>2935.7733499999999</v>
      </c>
      <c r="I431" s="764" t="str" cm="1">
        <f t="array" ref="I431">_xlfn.XLOOKUP(E431&amp;G431,'3.1 Adq. Bienes y servicios'!$B$7:$B$52&amp;'3.1 Adq. Bienes y servicios'!$E$7:$E$52,'3.1 Adq. Bienes y servicios'!$I$7:$I$52,"-")</f>
        <v>kgCO2e/toneladas</v>
      </c>
      <c r="J431" s="764" t="str" cm="1">
        <f t="array" ref="J431">_xlfn.XLOOKUP(E431&amp;G431,'3.1 Adq. Bienes y servicios'!$B$7:$B$52&amp;'3.1 Adq. Bienes y servicios'!$E$7:$E$52,'3.1 Adq. Bienes y servicios'!$J$7:$J$52,"-")</f>
        <v>DEFRA 2024, Material use</v>
      </c>
      <c r="K431" s="764" t="str" cm="1">
        <f t="array" ref="K431">_xlfn.XLOOKUP(E431&amp;G431,'3.1 Adq. Bienes y servicios'!$B$7:$B$52&amp;'3.1 Adq. Bienes y servicios'!$E$7:$E$52,'3.1 Adq. Bienes y servicios'!$K$7:$K$52,"-")</f>
        <v>-</v>
      </c>
      <c r="L431" s="768" t="s">
        <v>102</v>
      </c>
    </row>
    <row r="432" spans="2:12">
      <c r="B432" s="764" t="s">
        <v>210</v>
      </c>
      <c r="C432" s="764" t="s">
        <v>50</v>
      </c>
      <c r="D432" s="764" t="s">
        <v>211</v>
      </c>
      <c r="E432" s="764" t="s">
        <v>229</v>
      </c>
      <c r="F432" s="764" t="s">
        <v>102</v>
      </c>
      <c r="G432" s="764" t="s">
        <v>106</v>
      </c>
      <c r="H432" s="765" cm="1">
        <f t="array" ref="H432">_xlfn.XLOOKUP(E432&amp;G432,'3.1 Adq. Bienes y servicios'!$B$7:$B$52&amp;'3.1 Adq. Bienes y servicios'!$E$7:$E$52,'3.1 Adq. Bienes y servicios'!$H$7:$H$52,"-")</f>
        <v>1339.31834</v>
      </c>
      <c r="I432" s="764" t="str" cm="1">
        <f t="array" ref="I432">_xlfn.XLOOKUP(E432&amp;G432,'3.1 Adq. Bienes y servicios'!$B$7:$B$52&amp;'3.1 Adq. Bienes y servicios'!$E$7:$E$52,'3.1 Adq. Bienes y servicios'!$I$7:$I$52,"-")</f>
        <v>kgCO2e/toneladas</v>
      </c>
      <c r="J432" s="764" t="str" cm="1">
        <f t="array" ref="J432">_xlfn.XLOOKUP(E432&amp;G432,'3.1 Adq. Bienes y servicios'!$B$7:$B$52&amp;'3.1 Adq. Bienes y servicios'!$E$7:$E$52,'3.1 Adq. Bienes y servicios'!$J$7:$J$52,"-")</f>
        <v>DEFRA 2024, Material use</v>
      </c>
      <c r="K432" s="764" t="str" cm="1">
        <f t="array" ref="K432">_xlfn.XLOOKUP(E432&amp;G432,'3.1 Adq. Bienes y servicios'!$B$7:$B$52&amp;'3.1 Adq. Bienes y servicios'!$E$7:$E$52,'3.1 Adq. Bienes y servicios'!$K$7:$K$52,"-")</f>
        <v>-</v>
      </c>
      <c r="L432" s="768" t="s">
        <v>102</v>
      </c>
    </row>
    <row r="433" spans="2:12">
      <c r="B433" s="764" t="s">
        <v>210</v>
      </c>
      <c r="C433" s="764" t="s">
        <v>50</v>
      </c>
      <c r="D433" s="764" t="s">
        <v>211</v>
      </c>
      <c r="E433" s="764" t="s">
        <v>230</v>
      </c>
      <c r="F433" s="764" t="s">
        <v>102</v>
      </c>
      <c r="G433" s="764" t="s">
        <v>106</v>
      </c>
      <c r="H433" s="765" cm="1">
        <f t="array" ref="H433">_xlfn.XLOOKUP(E433&amp;G433,'3.1 Adq. Bienes y servicios'!$B$7:$B$52&amp;'3.1 Adq. Bienes y servicios'!$E$7:$E$52,'3.1 Adq. Bienes y servicios'!$H$7:$H$52,"-")</f>
        <v>0</v>
      </c>
      <c r="I433" s="764" t="str" cm="1">
        <f t="array" ref="I433">_xlfn.XLOOKUP(E433&amp;G433,'3.1 Adq. Bienes y servicios'!$B$7:$B$52&amp;'3.1 Adq. Bienes y servicios'!$E$7:$E$52,'3.1 Adq. Bienes y servicios'!$I$7:$I$52,"-")</f>
        <v>kgCO2e/toneladas</v>
      </c>
      <c r="J433" s="764" t="str" cm="1">
        <f t="array" ref="J433">_xlfn.XLOOKUP(E433&amp;G433,'3.1 Adq. Bienes y servicios'!$B$7:$B$52&amp;'3.1 Adq. Bienes y servicios'!$E$7:$E$52,'3.1 Adq. Bienes y servicios'!$J$7:$J$52,"-")</f>
        <v>DEFRA 2024, Material use</v>
      </c>
      <c r="K433" s="764" t="str" cm="1">
        <f t="array" ref="K433">_xlfn.XLOOKUP(E433&amp;G433,'3.1 Adq. Bienes y servicios'!$B$7:$B$52&amp;'3.1 Adq. Bienes y servicios'!$E$7:$E$52,'3.1 Adq. Bienes y servicios'!$K$7:$K$52,"-")</f>
        <v>-</v>
      </c>
      <c r="L433" s="768" t="s">
        <v>102</v>
      </c>
    </row>
    <row r="434" spans="2:12">
      <c r="B434" s="764" t="s">
        <v>210</v>
      </c>
      <c r="C434" s="764" t="s">
        <v>50</v>
      </c>
      <c r="D434" s="764" t="s">
        <v>211</v>
      </c>
      <c r="E434" s="764" t="s">
        <v>231</v>
      </c>
      <c r="F434" s="764" t="s">
        <v>102</v>
      </c>
      <c r="G434" s="764" t="s">
        <v>106</v>
      </c>
      <c r="H434" s="765" cm="1">
        <f t="array" ref="H434">_xlfn.XLOOKUP(E434&amp;G434,'3.1 Adq. Bienes y servicios'!$B$7:$B$52&amp;'3.1 Adq. Bienes y servicios'!$E$7:$E$52,'3.1 Adq. Bienes y servicios'!$H$7:$H$52,"-")</f>
        <v>44423.452599999997</v>
      </c>
      <c r="I434" s="764" t="str" cm="1">
        <f t="array" ref="I434">_xlfn.XLOOKUP(E434&amp;G434,'3.1 Adq. Bienes y servicios'!$B$7:$B$52&amp;'3.1 Adq. Bienes y servicios'!$E$7:$E$52,'3.1 Adq. Bienes y servicios'!$I$7:$I$52,"-")</f>
        <v>kgCO2e/toneladas</v>
      </c>
      <c r="J434" s="764" t="str" cm="1">
        <f t="array" ref="J434">_xlfn.XLOOKUP(E434&amp;G434,'3.1 Adq. Bienes y servicios'!$B$7:$B$52&amp;'3.1 Adq. Bienes y servicios'!$E$7:$E$52,'3.1 Adq. Bienes y servicios'!$J$7:$J$52,"-")</f>
        <v>-</v>
      </c>
      <c r="K434" s="764" t="str" cm="1">
        <f t="array" ref="K434">_xlfn.XLOOKUP(E434&amp;G434,'3.1 Adq. Bienes y servicios'!$B$7:$B$52&amp;'3.1 Adq. Bienes y servicios'!$E$7:$E$52,'3.1 Adq. Bienes y servicios'!$K$7:$K$52,"-")</f>
        <v>Ecoinvent 2.0 (2009)</v>
      </c>
      <c r="L434" s="768" t="s">
        <v>102</v>
      </c>
    </row>
    <row r="435" spans="2:12" ht="28.8">
      <c r="B435" s="764" t="s">
        <v>210</v>
      </c>
      <c r="C435" s="764" t="s">
        <v>50</v>
      </c>
      <c r="D435" s="764" t="s">
        <v>211</v>
      </c>
      <c r="E435" s="764" t="s">
        <v>232</v>
      </c>
      <c r="F435" s="764" t="s">
        <v>102</v>
      </c>
      <c r="G435" s="764" t="s">
        <v>106</v>
      </c>
      <c r="H435" s="765" cm="1">
        <f t="array" ref="H435">_xlfn.XLOOKUP(E435&amp;G435,'3.1 Adq. Bienes y servicios'!$B$7:$B$52&amp;'3.1 Adq. Bienes y servicios'!$E$7:$E$52,'3.1 Adq. Bienes y servicios'!$H$7:$H$52,"-")</f>
        <v>269.50416000000001</v>
      </c>
      <c r="I435" s="764" t="str" cm="1">
        <f t="array" ref="I435">_xlfn.XLOOKUP(E435&amp;G435,'3.1 Adq. Bienes y servicios'!$B$7:$B$52&amp;'3.1 Adq. Bienes y servicios'!$E$7:$E$52,'3.1 Adq. Bienes y servicios'!$I$7:$I$52,"-")</f>
        <v>kgCO2e/toneladas</v>
      </c>
      <c r="J435" s="764" t="str" cm="1">
        <f t="array" ref="J435">_xlfn.XLOOKUP(E435&amp;G435,'3.1 Adq. Bienes y servicios'!$B$7:$B$52&amp;'3.1 Adq. Bienes y servicios'!$E$7:$E$52,'3.1 Adq. Bienes y servicios'!$J$7:$J$52,"-")</f>
        <v>DEFRA 2024, Material use</v>
      </c>
      <c r="K435" s="764" t="str" cm="1">
        <f t="array" ref="K435">_xlfn.XLOOKUP(E435&amp;G435,'3.1 Adq. Bienes y servicios'!$B$7:$B$52&amp;'3.1 Adq. Bienes y servicios'!$E$7:$E$52,'3.1 Adq. Bienes y servicios'!$K$7:$K$52,"-")</f>
        <v>-</v>
      </c>
      <c r="L435" s="768" t="s">
        <v>102</v>
      </c>
    </row>
    <row r="436" spans="2:12" ht="28.8">
      <c r="B436" s="764" t="s">
        <v>210</v>
      </c>
      <c r="C436" s="764" t="s">
        <v>50</v>
      </c>
      <c r="D436" s="764" t="s">
        <v>211</v>
      </c>
      <c r="E436" s="764" t="s">
        <v>233</v>
      </c>
      <c r="F436" s="764" t="s">
        <v>102</v>
      </c>
      <c r="G436" s="764" t="s">
        <v>106</v>
      </c>
      <c r="H436" s="765" cm="1">
        <f t="array" ref="H436">_xlfn.XLOOKUP(E436&amp;G436,'3.1 Adq. Bienes y servicios'!$B$7:$B$52&amp;'3.1 Adq. Bienes y servicios'!$E$7:$E$52,'3.1 Adq. Bienes y servicios'!$H$7:$H$52,"-")</f>
        <v>1402.76667</v>
      </c>
      <c r="I436" s="764" t="str" cm="1">
        <f t="array" ref="I436">_xlfn.XLOOKUP(E436&amp;G436,'3.1 Adq. Bienes y servicios'!$B$7:$B$52&amp;'3.1 Adq. Bienes y servicios'!$E$7:$E$52,'3.1 Adq. Bienes y servicios'!$I$7:$I$52,"-")</f>
        <v>kgCO2e/toneladas</v>
      </c>
      <c r="J436" s="764" t="str" cm="1">
        <f t="array" ref="J436">_xlfn.XLOOKUP(E436&amp;G436,'3.1 Adq. Bienes y servicios'!$B$7:$B$52&amp;'3.1 Adq. Bienes y servicios'!$E$7:$E$52,'3.1 Adq. Bienes y servicios'!$J$7:$J$52,"-")</f>
        <v>DEFRA 2024, Material use</v>
      </c>
      <c r="K436" s="764" t="str" cm="1">
        <f t="array" ref="K436">_xlfn.XLOOKUP(E436&amp;G436,'3.1 Adq. Bienes y servicios'!$B$7:$B$52&amp;'3.1 Adq. Bienes y servicios'!$E$7:$E$52,'3.1 Adq. Bienes y servicios'!$K$7:$K$52,"-")</f>
        <v>-</v>
      </c>
      <c r="L436" s="768" t="s">
        <v>102</v>
      </c>
    </row>
    <row r="437" spans="2:12">
      <c r="B437" s="764" t="s">
        <v>210</v>
      </c>
      <c r="C437" s="764" t="s">
        <v>50</v>
      </c>
      <c r="D437" s="764" t="s">
        <v>211</v>
      </c>
      <c r="E437" s="764" t="s">
        <v>234</v>
      </c>
      <c r="F437" s="764" t="s">
        <v>102</v>
      </c>
      <c r="G437" s="764" t="s">
        <v>106</v>
      </c>
      <c r="H437" s="765" cm="1">
        <f t="array" ref="H437">_xlfn.XLOOKUP(E437&amp;G437,'3.1 Adq. Bienes y servicios'!$B$7:$B$52&amp;'3.1 Adq. Bienes y servicios'!$E$7:$E$52,'3.1 Adq. Bienes y servicios'!$H$7:$H$52,"-")</f>
        <v>118.75127000000001</v>
      </c>
      <c r="I437" s="764" t="str" cm="1">
        <f t="array" ref="I437">_xlfn.XLOOKUP(E437&amp;G437,'3.1 Adq. Bienes y servicios'!$B$7:$B$52&amp;'3.1 Adq. Bienes y servicios'!$E$7:$E$52,'3.1 Adq. Bienes y servicios'!$I$7:$I$52,"-")</f>
        <v>kgCO2e/toneladas</v>
      </c>
      <c r="J437" s="764" t="str" cm="1">
        <f t="array" ref="J437">_xlfn.XLOOKUP(E437&amp;G437,'3.1 Adq. Bienes y servicios'!$B$7:$B$52&amp;'3.1 Adq. Bienes y servicios'!$E$7:$E$52,'3.1 Adq. Bienes y servicios'!$J$7:$J$52,"-")</f>
        <v>DEFRA 2024, Material use</v>
      </c>
      <c r="K437" s="764" t="str" cm="1">
        <f t="array" ref="K437">_xlfn.XLOOKUP(E437&amp;G437,'3.1 Adq. Bienes y servicios'!$B$7:$B$52&amp;'3.1 Adq. Bienes y servicios'!$E$7:$E$52,'3.1 Adq. Bienes y servicios'!$K$7:$K$52,"-")</f>
        <v>-</v>
      </c>
      <c r="L437" s="768" t="s">
        <v>102</v>
      </c>
    </row>
    <row r="438" spans="2:12">
      <c r="B438" s="764" t="s">
        <v>210</v>
      </c>
      <c r="C438" s="764" t="s">
        <v>50</v>
      </c>
      <c r="D438" s="764" t="s">
        <v>211</v>
      </c>
      <c r="E438" s="764" t="s">
        <v>235</v>
      </c>
      <c r="F438" s="764" t="s">
        <v>102</v>
      </c>
      <c r="G438" s="764" t="s">
        <v>106</v>
      </c>
      <c r="H438" s="765" cm="1">
        <f t="array" ref="H438">_xlfn.XLOOKUP(E438&amp;G438,'3.1 Adq. Bienes y servicios'!$B$7:$B$52&amp;'3.1 Adq. Bienes y servicios'!$E$7:$E$52,'3.1 Adq. Bienes y servicios'!$H$7:$H$52,"-")</f>
        <v>120.05</v>
      </c>
      <c r="I438" s="764" t="str" cm="1">
        <f t="array" ref="I438">_xlfn.XLOOKUP(E438&amp;G438,'3.1 Adq. Bienes y servicios'!$B$7:$B$52&amp;'3.1 Adq. Bienes y servicios'!$E$7:$E$52,'3.1 Adq. Bienes y servicios'!$I$7:$I$52,"-")</f>
        <v>kgCO2e/toneladas</v>
      </c>
      <c r="J438" s="764" t="str" cm="1">
        <f t="array" ref="J438">_xlfn.XLOOKUP(E438&amp;G438,'3.1 Adq. Bienes y servicios'!$B$7:$B$52&amp;'3.1 Adq. Bienes y servicios'!$E$7:$E$52,'3.1 Adq. Bienes y servicios'!$J$7:$J$52,"-")</f>
        <v>DEFRA 2024, Material use</v>
      </c>
      <c r="K438" s="764" t="str" cm="1">
        <f t="array" ref="K438">_xlfn.XLOOKUP(E438&amp;G438,'3.1 Adq. Bienes y servicios'!$B$7:$B$52&amp;'3.1 Adq. Bienes y servicios'!$E$7:$E$52,'3.1 Adq. Bienes y servicios'!$K$7:$K$52,"-")</f>
        <v>-</v>
      </c>
      <c r="L438" s="768" t="s">
        <v>102</v>
      </c>
    </row>
    <row r="439" spans="2:12">
      <c r="B439" s="764" t="s">
        <v>210</v>
      </c>
      <c r="C439" s="764" t="s">
        <v>50</v>
      </c>
      <c r="D439" s="764" t="s">
        <v>211</v>
      </c>
      <c r="E439" s="764" t="s">
        <v>236</v>
      </c>
      <c r="F439" s="764" t="s">
        <v>102</v>
      </c>
      <c r="G439" s="764" t="s">
        <v>106</v>
      </c>
      <c r="H439" s="765" cm="1">
        <f t="array" ref="H439">_xlfn.XLOOKUP(E439&amp;G439,'3.1 Adq. Bienes y servicios'!$B$7:$B$52&amp;'3.1 Adq. Bienes y servicios'!$E$7:$E$52,'3.1 Adq. Bienes y servicios'!$H$7:$H$52,"-")</f>
        <v>22310</v>
      </c>
      <c r="I439" s="764" t="str" cm="1">
        <f t="array" ref="I439">_xlfn.XLOOKUP(E439&amp;G439,'3.1 Adq. Bienes y servicios'!$B$7:$B$52&amp;'3.1 Adq. Bienes y servicios'!$E$7:$E$52,'3.1 Adq. Bienes y servicios'!$I$7:$I$52,"-")</f>
        <v>kgCO2e/toneladas</v>
      </c>
      <c r="J439" s="764" t="str" cm="1">
        <f t="array" ref="J439">_xlfn.XLOOKUP(E439&amp;G439,'3.1 Adq. Bienes y servicios'!$B$7:$B$52&amp;'3.1 Adq. Bienes y servicios'!$E$7:$E$52,'3.1 Adq. Bienes y servicios'!$J$7:$J$52,"-")</f>
        <v>DEFRA 2024, Material use</v>
      </c>
      <c r="K439" s="764" t="str" cm="1">
        <f t="array" ref="K439">_xlfn.XLOOKUP(E439&amp;G439,'3.1 Adq. Bienes y servicios'!$B$7:$B$52&amp;'3.1 Adq. Bienes y servicios'!$E$7:$E$52,'3.1 Adq. Bienes y servicios'!$K$7:$K$52,"-")</f>
        <v>-</v>
      </c>
      <c r="L439" s="768" t="s">
        <v>102</v>
      </c>
    </row>
    <row r="440" spans="2:12">
      <c r="B440" s="764" t="s">
        <v>210</v>
      </c>
      <c r="C440" s="764" t="s">
        <v>50</v>
      </c>
      <c r="D440" s="764" t="s">
        <v>211</v>
      </c>
      <c r="E440" s="764" t="s">
        <v>122</v>
      </c>
      <c r="F440" s="764" t="s">
        <v>102</v>
      </c>
      <c r="G440" s="764" t="s">
        <v>104</v>
      </c>
      <c r="H440" s="765" cm="1">
        <f t="array" ref="H440">_xlfn.XLOOKUP(E440&amp;G440,'3.1 Adq. Bienes y servicios'!$B$7:$B$52&amp;'3.1 Adq. Bienes y servicios'!$E$7:$E$52,'3.1 Adq. Bienes y servicios'!$H$7:$H$52,"-")</f>
        <v>0.62409000000000003</v>
      </c>
      <c r="I440" s="764" t="str" cm="1">
        <f t="array" ref="I440">_xlfn.XLOOKUP(E440&amp;G440,'3.1 Adq. Bienes y servicios'!$B$7:$B$52&amp;'3.1 Adq. Bienes y servicios'!$E$7:$E$52,'3.1 Adq. Bienes y servicios'!$I$7:$I$52,"-")</f>
        <v>kgCO2e/litros</v>
      </c>
      <c r="J440" s="764" t="str" cm="1">
        <f t="array" ref="J440">_xlfn.XLOOKUP(E440&amp;G440,'3.1 Adq. Bienes y servicios'!$B$7:$B$52&amp;'3.1 Adq. Bienes y servicios'!$E$7:$E$52,'3.1 Adq. Bienes y servicios'!$J$7:$J$52,"-")</f>
        <v>DEFRA 2024, WTT-fuels</v>
      </c>
      <c r="K440" s="764" t="str" cm="1">
        <f t="array" ref="K440">_xlfn.XLOOKUP(E440&amp;G440,'3.1 Adq. Bienes y servicios'!$B$7:$B$52&amp;'3.1 Adq. Bienes y servicios'!$E$7:$E$52,'3.1 Adq. Bienes y servicios'!$K$7:$K$52,"-")</f>
        <v>-</v>
      </c>
      <c r="L440" s="768" t="s">
        <v>102</v>
      </c>
    </row>
    <row r="441" spans="2:12">
      <c r="B441" s="764" t="s">
        <v>210</v>
      </c>
      <c r="C441" s="764" t="s">
        <v>50</v>
      </c>
      <c r="D441" s="764" t="s">
        <v>211</v>
      </c>
      <c r="E441" s="764" t="s">
        <v>114</v>
      </c>
      <c r="F441" s="764" t="s">
        <v>102</v>
      </c>
      <c r="G441" s="764" t="s">
        <v>104</v>
      </c>
      <c r="H441" s="765" cm="1">
        <f t="array" ref="H441">_xlfn.XLOOKUP(E441&amp;G441,'3.1 Adq. Bienes y servicios'!$B$7:$B$52&amp;'3.1 Adq. Bienes y servicios'!$E$7:$E$52,'3.1 Adq. Bienes y servicios'!$H$7:$H$52,"-")</f>
        <v>0.18551000000000001</v>
      </c>
      <c r="I441" s="764" t="str" cm="1">
        <f t="array" ref="I441">_xlfn.XLOOKUP(E441&amp;G441,'3.1 Adq. Bienes y servicios'!$B$7:$B$52&amp;'3.1 Adq. Bienes y servicios'!$E$7:$E$52,'3.1 Adq. Bienes y servicios'!$I$7:$I$52,"-")</f>
        <v>kgCO2e/litros</v>
      </c>
      <c r="J441" s="764" t="str" cm="1">
        <f t="array" ref="J441">_xlfn.XLOOKUP(E441&amp;G441,'3.1 Adq. Bienes y servicios'!$B$7:$B$52&amp;'3.1 Adq. Bienes y servicios'!$E$7:$E$52,'3.1 Adq. Bienes y servicios'!$J$7:$J$52,"-")</f>
        <v>DEFRA 2024, WTT-fuels</v>
      </c>
      <c r="K441" s="764" t="str" cm="1">
        <f t="array" ref="K441">_xlfn.XLOOKUP(E441&amp;G441,'3.1 Adq. Bienes y servicios'!$B$7:$B$52&amp;'3.1 Adq. Bienes y servicios'!$E$7:$E$52,'3.1 Adq. Bienes y servicios'!$K$7:$K$52,"-")</f>
        <v>-</v>
      </c>
      <c r="L441" s="768" t="s">
        <v>102</v>
      </c>
    </row>
    <row r="442" spans="2:12">
      <c r="B442" s="764" t="s">
        <v>210</v>
      </c>
      <c r="C442" s="764" t="s">
        <v>50</v>
      </c>
      <c r="D442" s="764" t="s">
        <v>211</v>
      </c>
      <c r="E442" s="764" t="s">
        <v>110</v>
      </c>
      <c r="F442" s="764" t="s">
        <v>102</v>
      </c>
      <c r="G442" s="764" t="s">
        <v>104</v>
      </c>
      <c r="H442" s="765" cm="1">
        <f t="array" ref="H442">_xlfn.XLOOKUP(E442&amp;G442,'3.1 Adq. Bienes y servicios'!$B$7:$B$52&amp;'3.1 Adq. Bienes y servicios'!$E$7:$E$52,'3.1 Adq. Bienes y servicios'!$H$7:$H$52,"-")</f>
        <v>0.60663999999999996</v>
      </c>
      <c r="I442" s="764" t="str" cm="1">
        <f t="array" ref="I442">_xlfn.XLOOKUP(E442&amp;G442,'3.1 Adq. Bienes y servicios'!$B$7:$B$52&amp;'3.1 Adq. Bienes y servicios'!$E$7:$E$52,'3.1 Adq. Bienes y servicios'!$I$7:$I$52,"-")</f>
        <v>kgCO2e/litros</v>
      </c>
      <c r="J442" s="764" t="str" cm="1">
        <f t="array" ref="J442">_xlfn.XLOOKUP(E442&amp;G442,'3.1 Adq. Bienes y servicios'!$B$7:$B$52&amp;'3.1 Adq. Bienes y servicios'!$E$7:$E$52,'3.1 Adq. Bienes y servicios'!$J$7:$J$52,"-")</f>
        <v>DEFRA 2024, WTT-fuels</v>
      </c>
      <c r="K442" s="764" t="str" cm="1">
        <f t="array" ref="K442">_xlfn.XLOOKUP(E442&amp;G442,'3.1 Adq. Bienes y servicios'!$B$7:$B$52&amp;'3.1 Adq. Bienes y servicios'!$E$7:$E$52,'3.1 Adq. Bienes y servicios'!$K$7:$K$52,"-")</f>
        <v>-</v>
      </c>
      <c r="L442" s="768" t="s">
        <v>102</v>
      </c>
    </row>
    <row r="443" spans="2:12">
      <c r="B443" s="764" t="s">
        <v>210</v>
      </c>
      <c r="C443" s="764" t="s">
        <v>50</v>
      </c>
      <c r="D443" s="764" t="s">
        <v>211</v>
      </c>
      <c r="E443" s="764" t="s">
        <v>115</v>
      </c>
      <c r="F443" s="764" t="s">
        <v>102</v>
      </c>
      <c r="G443" s="764" t="s">
        <v>103</v>
      </c>
      <c r="H443" s="765" cm="1">
        <f t="array" ref="H443">_xlfn.XLOOKUP(E443&amp;G443,'3.1 Adq. Bienes y servicios'!$B$7:$B$52&amp;'3.1 Adq. Bienes y servicios'!$E$7:$E$52,'3.1 Adq. Bienes y servicios'!$H$7:$H$52,"-")</f>
        <v>0.33660000000000001</v>
      </c>
      <c r="I443" s="764" t="str" cm="1">
        <f t="array" ref="I443">_xlfn.XLOOKUP(E443&amp;G443,'3.1 Adq. Bienes y servicios'!$B$7:$B$52&amp;'3.1 Adq. Bienes y servicios'!$E$7:$E$52,'3.1 Adq. Bienes y servicios'!$I$7:$I$52,"-")</f>
        <v>kgCO2e/metros cúbicos</v>
      </c>
      <c r="J443" s="764" t="str" cm="1">
        <f t="array" ref="J443">_xlfn.XLOOKUP(E443&amp;G443,'3.1 Adq. Bienes y servicios'!$B$7:$B$52&amp;'3.1 Adq. Bienes y servicios'!$E$7:$E$52,'3.1 Adq. Bienes y servicios'!$J$7:$J$52,"-")</f>
        <v>DEFRA 2024, WTT-fuels</v>
      </c>
      <c r="K443" s="764" t="str" cm="1">
        <f t="array" ref="K443">_xlfn.XLOOKUP(E443&amp;G443,'3.1 Adq. Bienes y servicios'!$B$7:$B$52&amp;'3.1 Adq. Bienes y servicios'!$E$7:$E$52,'3.1 Adq. Bienes y servicios'!$K$7:$K$52,"-")</f>
        <v>-</v>
      </c>
      <c r="L443" s="768" t="s">
        <v>102</v>
      </c>
    </row>
    <row r="444" spans="2:12" ht="28.8">
      <c r="B444" s="764" t="s">
        <v>210</v>
      </c>
      <c r="C444" s="764" t="s">
        <v>50</v>
      </c>
      <c r="D444" s="764" t="s">
        <v>211</v>
      </c>
      <c r="E444" s="764" t="s">
        <v>237</v>
      </c>
      <c r="F444" s="764" t="s">
        <v>102</v>
      </c>
      <c r="G444" s="764" t="s">
        <v>106</v>
      </c>
      <c r="H444" s="765" cm="1">
        <f t="array" ref="H444">_xlfn.XLOOKUP(E444&amp;G444,'3.1 Adq. Bienes y servicios'!$B$7:$B$52&amp;'3.1 Adq. Bienes y servicios'!$E$7:$E$52,'3.1 Adq. Bienes y servicios'!$H$7:$H$52,"-")</f>
        <v>3701.4035899999999</v>
      </c>
      <c r="I444" s="764" t="str" cm="1">
        <f t="array" ref="I444">_xlfn.XLOOKUP(E444&amp;G444,'3.1 Adq. Bienes y servicios'!$B$7:$B$52&amp;'3.1 Adq. Bienes y servicios'!$E$7:$E$52,'3.1 Adq. Bienes y servicios'!$I$7:$I$52,"-")</f>
        <v>kgCO2e/toneladas</v>
      </c>
      <c r="J444" s="764" t="str" cm="1">
        <f t="array" ref="J444">_xlfn.XLOOKUP(E444&amp;G444,'3.1 Adq. Bienes y servicios'!$B$7:$B$52&amp;'3.1 Adq. Bienes y servicios'!$E$7:$E$52,'3.1 Adq. Bienes y servicios'!$J$7:$J$52,"-")</f>
        <v>DEFRA 2024, Material use</v>
      </c>
      <c r="K444" s="764" t="str" cm="1">
        <f t="array" ref="K444">_xlfn.XLOOKUP(E444&amp;G444,'3.1 Adq. Bienes y servicios'!$B$7:$B$52&amp;'3.1 Adq. Bienes y servicios'!$E$7:$E$52,'3.1 Adq. Bienes y servicios'!$K$7:$K$52,"-")</f>
        <v>-</v>
      </c>
      <c r="L444" s="768" t="s">
        <v>102</v>
      </c>
    </row>
    <row r="445" spans="2:12">
      <c r="B445" s="764" t="s">
        <v>210</v>
      </c>
      <c r="C445" s="764" t="s">
        <v>50</v>
      </c>
      <c r="D445" s="764" t="s">
        <v>211</v>
      </c>
      <c r="E445" s="764" t="s">
        <v>238</v>
      </c>
      <c r="F445" s="764" t="s">
        <v>102</v>
      </c>
      <c r="G445" s="764" t="s">
        <v>103</v>
      </c>
      <c r="H445" s="765" cm="1">
        <f t="array" ref="H445">_xlfn.XLOOKUP(E445&amp;G445,'3.1 Adq. Bienes y servicios'!$B$7:$B$52&amp;'3.1 Adq. Bienes y servicios'!$E$7:$E$52,'3.1 Adq. Bienes y servicios'!$H$7:$H$52,"-")</f>
        <v>965.28679016447984</v>
      </c>
      <c r="I445" s="764" t="str" cm="1">
        <f t="array" ref="I445">_xlfn.XLOOKUP(E445&amp;G445,'3.1 Adq. Bienes y servicios'!$B$7:$B$52&amp;'3.1 Adq. Bienes y servicios'!$E$7:$E$52,'3.1 Adq. Bienes y servicios'!$I$7:$I$52,"-")</f>
        <v>kgCO2e/metros cúbicos</v>
      </c>
      <c r="J445" s="764" t="str" cm="1">
        <f t="array" ref="J445">_xlfn.XLOOKUP(E445&amp;G445,'3.1 Adq. Bienes y servicios'!$B$7:$B$52&amp;'3.1 Adq. Bienes y servicios'!$E$7:$E$52,'3.1 Adq. Bienes y servicios'!$J$7:$J$52,"-")</f>
        <v>DEFRA 2024, WTT-fuels</v>
      </c>
      <c r="K445" s="764" t="str" cm="1">
        <f t="array" ref="K445">_xlfn.XLOOKUP(E445&amp;G445,'3.1 Adq. Bienes y servicios'!$B$7:$B$52&amp;'3.1 Adq. Bienes y servicios'!$E$7:$E$52,'3.1 Adq. Bienes y servicios'!$K$7:$K$52,"-")</f>
        <v>DEFRA 2024, Fuel properties</v>
      </c>
      <c r="L445" s="768" t="s">
        <v>102</v>
      </c>
    </row>
    <row r="446" spans="2:12">
      <c r="B446" s="764" t="s">
        <v>210</v>
      </c>
      <c r="C446" s="764" t="s">
        <v>50</v>
      </c>
      <c r="D446" s="764" t="s">
        <v>211</v>
      </c>
      <c r="E446" s="764" t="s">
        <v>239</v>
      </c>
      <c r="F446" s="764" t="s">
        <v>102</v>
      </c>
      <c r="G446" s="764" t="s">
        <v>106</v>
      </c>
      <c r="H446" s="765" cm="1">
        <f t="array" ref="H446">_xlfn.XLOOKUP(E446&amp;G446,'3.1 Adq. Bienes y servicios'!$B$7:$B$52&amp;'3.1 Adq. Bienes y servicios'!$E$7:$E$52,'3.1 Adq. Bienes y servicios'!$H$7:$H$52,"-")</f>
        <v>52.14</v>
      </c>
      <c r="I446" s="764" t="str" cm="1">
        <f t="array" ref="I446">_xlfn.XLOOKUP(E446&amp;G446,'3.1 Adq. Bienes y servicios'!$B$7:$B$52&amp;'3.1 Adq. Bienes y servicios'!$E$7:$E$52,'3.1 Adq. Bienes y servicios'!$I$7:$I$52,"-")</f>
        <v>kgCO2e/toneladas</v>
      </c>
      <c r="J446" s="764" t="str" cm="1">
        <f t="array" ref="J446">_xlfn.XLOOKUP(E446&amp;G446,'3.1 Adq. Bienes y servicios'!$B$7:$B$52&amp;'3.1 Adq. Bienes y servicios'!$E$7:$E$52,'3.1 Adq. Bienes y servicios'!$J$7:$J$52,"-")</f>
        <v>DEFRA 2024, WTT-bioenergy</v>
      </c>
      <c r="K446" s="764" t="str" cm="1">
        <f t="array" ref="K446">_xlfn.XLOOKUP(E446&amp;G446,'3.1 Adq. Bienes y servicios'!$B$7:$B$52&amp;'3.1 Adq. Bienes y servicios'!$E$7:$E$52,'3.1 Adq. Bienes y servicios'!$K$7:$K$52,"-")</f>
        <v>-</v>
      </c>
      <c r="L446" s="768" t="s">
        <v>102</v>
      </c>
    </row>
    <row r="447" spans="2:12">
      <c r="B447" s="764" t="s">
        <v>210</v>
      </c>
      <c r="C447" s="764" t="s">
        <v>50</v>
      </c>
      <c r="D447" s="764" t="s">
        <v>211</v>
      </c>
      <c r="E447" s="764" t="s">
        <v>240</v>
      </c>
      <c r="F447" s="764" t="s">
        <v>102</v>
      </c>
      <c r="G447" s="764" t="s">
        <v>106</v>
      </c>
      <c r="H447" s="765" cm="1">
        <f t="array" ref="H447">_xlfn.XLOOKUP(E447&amp;G447,'3.1 Adq. Bienes y servicios'!$B$7:$B$52&amp;'3.1 Adq. Bienes y servicios'!$E$7:$E$52,'3.1 Adq. Bienes y servicios'!$H$7:$H$52,"-")</f>
        <v>3335.5718999999999</v>
      </c>
      <c r="I447" s="764" t="str" cm="1">
        <f t="array" ref="I447">_xlfn.XLOOKUP(E447&amp;G447,'3.1 Adq. Bienes y servicios'!$B$7:$B$52&amp;'3.1 Adq. Bienes y servicios'!$E$7:$E$52,'3.1 Adq. Bienes y servicios'!$I$7:$I$52,"-")</f>
        <v>kgCO2e/toneladas</v>
      </c>
      <c r="J447" s="764" t="str" cm="1">
        <f t="array" ref="J447">_xlfn.XLOOKUP(E447&amp;G447,'3.1 Adq. Bienes y servicios'!$B$7:$B$52&amp;'3.1 Adq. Bienes y servicios'!$E$7:$E$52,'3.1 Adq. Bienes y servicios'!$J$7:$J$52,"-")</f>
        <v>DEFRA 2024, Material use</v>
      </c>
      <c r="K447" s="764" t="str" cm="1">
        <f t="array" ref="K447">_xlfn.XLOOKUP(E447&amp;G447,'3.1 Adq. Bienes y servicios'!$B$7:$B$52&amp;'3.1 Adq. Bienes y servicios'!$E$7:$E$52,'3.1 Adq. Bienes y servicios'!$K$7:$K$52,"-")</f>
        <v>-</v>
      </c>
      <c r="L447" s="768" t="s">
        <v>102</v>
      </c>
    </row>
    <row r="448" spans="2:12" ht="28.8">
      <c r="B448" s="764" t="s">
        <v>210</v>
      </c>
      <c r="C448" s="764" t="s">
        <v>50</v>
      </c>
      <c r="D448" s="764" t="s">
        <v>211</v>
      </c>
      <c r="E448" s="764" t="s">
        <v>241</v>
      </c>
      <c r="F448" s="764" t="s">
        <v>102</v>
      </c>
      <c r="G448" s="764" t="s">
        <v>107</v>
      </c>
      <c r="H448" s="765" cm="1">
        <f t="array" ref="H448">_xlfn.XLOOKUP(E448&amp;G448,'3.1 Adq. Bienes y servicios'!$B$7:$B$52&amp;'3.1 Adq. Bienes y servicios'!$E$7:$E$52,'3.1 Adq. Bienes y servicios'!$H$7:$H$52,"-")</f>
        <v>12.79</v>
      </c>
      <c r="I448" s="764" t="str" cm="1">
        <f t="array" ref="I448">_xlfn.XLOOKUP(E448&amp;G448,'3.1 Adq. Bienes y servicios'!$B$7:$B$52&amp;'3.1 Adq. Bienes y servicios'!$E$7:$E$52,'3.1 Adq. Bienes y servicios'!$I$7:$I$52,"-")</f>
        <v>kgCO2e/kilogramos</v>
      </c>
      <c r="J448" s="764" t="str" cm="1">
        <f t="array" ref="J448">_xlfn.XLOOKUP(E448&amp;G448,'3.1 Adq. Bienes y servicios'!$B$7:$B$52&amp;'3.1 Adq. Bienes y servicios'!$E$7:$E$52,'3.1 Adq. Bienes y servicios'!$J$7:$J$52,"-")</f>
        <v>-</v>
      </c>
      <c r="K448" s="764" t="str" cm="1">
        <f t="array" ref="K448">_xlfn.XLOOKUP(E448&amp;G448,'3.1 Adq. Bienes y servicios'!$B$7:$B$52&amp;'3.1 Adq. Bienes y servicios'!$E$7:$E$52,'3.1 Adq. Bienes y servicios'!$K$7:$K$52,"-")</f>
        <v>Hammond, G. and Jones, C. The Inventory of Carbon and Energy ICE. 2011. ISBN 9780860227038</v>
      </c>
      <c r="L448" s="768" t="s">
        <v>102</v>
      </c>
    </row>
    <row r="449" spans="2:12" ht="43.2">
      <c r="B449" s="764" t="s">
        <v>210</v>
      </c>
      <c r="C449" s="764" t="s">
        <v>50</v>
      </c>
      <c r="D449" s="764" t="s">
        <v>211</v>
      </c>
      <c r="E449" s="764" t="s">
        <v>242</v>
      </c>
      <c r="F449" s="764" t="s">
        <v>102</v>
      </c>
      <c r="G449" s="764" t="s">
        <v>107</v>
      </c>
      <c r="H449" s="765" cm="1">
        <f t="array" ref="H449">_xlfn.XLOOKUP(E449&amp;G449,'3.1 Adq. Bienes y servicios'!$B$7:$B$52&amp;'3.1 Adq. Bienes y servicios'!$E$7:$E$52,'3.1 Adq. Bienes y servicios'!$H$7:$H$52,"-")</f>
        <v>1.179</v>
      </c>
      <c r="I449" s="764" t="str" cm="1">
        <f t="array" ref="I449">_xlfn.XLOOKUP(E449&amp;G449,'3.1 Adq. Bienes y servicios'!$B$7:$B$52&amp;'3.1 Adq. Bienes y servicios'!$E$7:$E$52,'3.1 Adq. Bienes y servicios'!$I$7:$I$52,"-")</f>
        <v>kgCO2e/kilogramos</v>
      </c>
      <c r="J449" s="764" t="str" cm="1">
        <f t="array" ref="J449">_xlfn.XLOOKUP(E449&amp;G449,'3.1 Adq. Bienes y servicios'!$B$7:$B$52&amp;'3.1 Adq. Bienes y servicios'!$E$7:$E$52,'3.1 Adq. Bienes y servicios'!$J$7:$J$52,"-")</f>
        <v>-</v>
      </c>
      <c r="K449" s="764" t="str" cm="1">
        <f t="array" ref="K449">_xlfn.XLOOKUP(E449&amp;G449,'3.1 Adq. Bienes y servicios'!$B$7:$B$52&amp;'3.1 Adq. Bienes y servicios'!$E$7:$E$52,'3.1 Adq. Bienes y servicios'!$K$7:$K$52,"-")</f>
        <v>Estimación del Factor de Emisión para neumáticos nuevos y recauchados para Asociación de Recauchadores y Renovadores de Neumáticos de Chile A.G. Sustrend, 2019.</v>
      </c>
      <c r="L449" s="768" t="s">
        <v>102</v>
      </c>
    </row>
    <row r="450" spans="2:12" ht="28.8">
      <c r="B450" s="764" t="s">
        <v>210</v>
      </c>
      <c r="C450" s="764" t="s">
        <v>50</v>
      </c>
      <c r="D450" s="764" t="s">
        <v>211</v>
      </c>
      <c r="E450" s="764" t="s">
        <v>243</v>
      </c>
      <c r="F450" s="764" t="s">
        <v>102</v>
      </c>
      <c r="G450" s="764" t="s">
        <v>106</v>
      </c>
      <c r="H450" s="765" cm="1">
        <f t="array" ref="H450">_xlfn.XLOOKUP(E450&amp;G450,'3.1 Adq. Bienes y servicios'!$B$7:$B$52&amp;'3.1 Adq. Bienes y servicios'!$E$7:$E$52,'3.1 Adq. Bienes y servicios'!$H$7:$H$52,"-")</f>
        <v>2439.3000000000002</v>
      </c>
      <c r="I450" s="764" t="str" cm="1">
        <f t="array" ref="I450">_xlfn.XLOOKUP(E450&amp;G450,'3.1 Adq. Bienes y servicios'!$B$7:$B$52&amp;'3.1 Adq. Bienes y servicios'!$E$7:$E$52,'3.1 Adq. Bienes y servicios'!$I$7:$I$52,"-")</f>
        <v>kgCO2e/toneladas</v>
      </c>
      <c r="J450" s="764" t="str" cm="1">
        <f t="array" ref="J450">_xlfn.XLOOKUP(E450&amp;G450,'3.1 Adq. Bienes y servicios'!$B$7:$B$52&amp;'3.1 Adq. Bienes y servicios'!$E$7:$E$52,'3.1 Adq. Bienes y servicios'!$J$7:$J$52,"-")</f>
        <v>-</v>
      </c>
      <c r="K450" s="764" t="str" cm="1">
        <f t="array" ref="K450">_xlfn.XLOOKUP(E450&amp;G450,'3.1 Adq. Bienes y servicios'!$B$7:$B$52&amp;'3.1 Adq. Bienes y servicios'!$E$7:$E$52,'3.1 Adq. Bienes y servicios'!$K$7:$K$52,"-")</f>
        <v>Ecoinvent 2.2 (2010)</v>
      </c>
      <c r="L450" s="768" t="s">
        <v>102</v>
      </c>
    </row>
    <row r="451" spans="2:12">
      <c r="B451" s="764" t="s">
        <v>210</v>
      </c>
      <c r="C451" s="764" t="s">
        <v>50</v>
      </c>
      <c r="D451" s="764" t="s">
        <v>211</v>
      </c>
      <c r="E451" s="764" t="s">
        <v>244</v>
      </c>
      <c r="F451" s="764" t="s">
        <v>102</v>
      </c>
      <c r="G451" s="764" t="s">
        <v>106</v>
      </c>
      <c r="H451" s="765" cm="1">
        <f t="array" ref="H451">_xlfn.XLOOKUP(E451&amp;G451,'3.1 Adq. Bienes y servicios'!$B$7:$B$52&amp;'3.1 Adq. Bienes y servicios'!$E$7:$E$52,'3.1 Adq. Bienes y servicios'!$H$7:$H$52,"-")</f>
        <v>1193.96586</v>
      </c>
      <c r="I451" s="764" t="str" cm="1">
        <f t="array" ref="I451">_xlfn.XLOOKUP(E451&amp;G451,'3.1 Adq. Bienes y servicios'!$B$7:$B$52&amp;'3.1 Adq. Bienes y servicios'!$E$7:$E$52,'3.1 Adq. Bienes y servicios'!$I$7:$I$52,"-")</f>
        <v>kgCO2e/toneladas</v>
      </c>
      <c r="J451" s="764" t="str" cm="1">
        <f t="array" ref="J451">_xlfn.XLOOKUP(E451&amp;G451,'3.1 Adq. Bienes y servicios'!$B$7:$B$52&amp;'3.1 Adq. Bienes y servicios'!$E$7:$E$52,'3.1 Adq. Bienes y servicios'!$J$7:$J$52,"-")</f>
        <v>DEFRA 2024, Material use</v>
      </c>
      <c r="K451" s="764" t="str" cm="1">
        <f t="array" ref="K451">_xlfn.XLOOKUP(E451&amp;G451,'3.1 Adq. Bienes y servicios'!$B$7:$B$52&amp;'3.1 Adq. Bienes y servicios'!$E$7:$E$52,'3.1 Adq. Bienes y servicios'!$K$7:$K$52,"-")</f>
        <v>-</v>
      </c>
      <c r="L451" s="768" t="s">
        <v>102</v>
      </c>
    </row>
    <row r="452" spans="2:12" ht="28.8">
      <c r="B452" s="764" t="s">
        <v>210</v>
      </c>
      <c r="C452" s="764" t="s">
        <v>50</v>
      </c>
      <c r="D452" s="764" t="s">
        <v>211</v>
      </c>
      <c r="E452" s="764" t="s">
        <v>245</v>
      </c>
      <c r="F452" s="764" t="s">
        <v>102</v>
      </c>
      <c r="G452" s="764" t="s">
        <v>106</v>
      </c>
      <c r="H452" s="765" cm="1">
        <f t="array" ref="H452">_xlfn.XLOOKUP(E452&amp;G452,'3.1 Adq. Bienes y servicios'!$B$7:$B$52&amp;'3.1 Adq. Bienes y servicios'!$E$7:$E$52,'3.1 Adq. Bienes y servicios'!$H$7:$H$52,"-")</f>
        <v>123.95</v>
      </c>
      <c r="I452" s="764" t="str" cm="1">
        <f t="array" ref="I452">_xlfn.XLOOKUP(E452&amp;G452,'3.1 Adq. Bienes y servicios'!$B$7:$B$52&amp;'3.1 Adq. Bienes y servicios'!$E$7:$E$52,'3.1 Adq. Bienes y servicios'!$I$7:$I$52,"-")</f>
        <v>kgCO2e/toneladas</v>
      </c>
      <c r="J452" s="764" t="str" cm="1">
        <f t="array" ref="J452">_xlfn.XLOOKUP(E452&amp;G452,'3.1 Adq. Bienes y servicios'!$B$7:$B$52&amp;'3.1 Adq. Bienes y servicios'!$E$7:$E$52,'3.1 Adq. Bienes y servicios'!$J$7:$J$52,"-")</f>
        <v>-</v>
      </c>
      <c r="K452" s="764" t="str" cm="1">
        <f t="array" ref="K452">_xlfn.XLOOKUP(E452&amp;G452,'3.1 Adq. Bienes y servicios'!$B$7:$B$52&amp;'3.1 Adq. Bienes y servicios'!$E$7:$E$52,'3.1 Adq. Bienes y servicios'!$K$7:$K$52,"-")</f>
        <v>Ecoinvent 2.2 (2010)</v>
      </c>
      <c r="L452" s="768" t="s">
        <v>102</v>
      </c>
    </row>
    <row r="453" spans="2:12" ht="28.8">
      <c r="B453" s="764" t="s">
        <v>210</v>
      </c>
      <c r="C453" s="764" t="s">
        <v>50</v>
      </c>
      <c r="D453" s="764" t="s">
        <v>211</v>
      </c>
      <c r="E453" s="764" t="s">
        <v>246</v>
      </c>
      <c r="F453" s="764" t="s">
        <v>102</v>
      </c>
      <c r="G453" s="764" t="s">
        <v>103</v>
      </c>
      <c r="H453" s="765" cm="1">
        <f t="array" ref="H453">_xlfn.XLOOKUP(E453&amp;G453,'3.1 Adq. Bienes y servicios'!$B$7:$B$52&amp;'3.1 Adq. Bienes y servicios'!$E$7:$E$52,'3.1 Adq. Bienes y servicios'!$H$7:$H$52,"-")</f>
        <v>0.33884999999999998</v>
      </c>
      <c r="I453" s="764" t="str" cm="1">
        <f t="array" ref="I453">_xlfn.XLOOKUP(E453&amp;G453,'3.1 Adq. Bienes y servicios'!$B$7:$B$52&amp;'3.1 Adq. Bienes y servicios'!$E$7:$E$52,'3.1 Adq. Bienes y servicios'!$I$7:$I$52,"-")</f>
        <v>kgCO2e/metros cúbicos</v>
      </c>
      <c r="J453" s="764" t="str" cm="1">
        <f t="array" ref="J453">_xlfn.XLOOKUP(E453&amp;G453,'3.1 Adq. Bienes y servicios'!$B$7:$B$52&amp;'3.1 Adq. Bienes y servicios'!$E$7:$E$52,'3.1 Adq. Bienes y servicios'!$J$7:$J$52,"-")</f>
        <v>DEFRA 2024, Water supply / Water treatment</v>
      </c>
      <c r="K453" s="764" t="str" cm="1">
        <f t="array" ref="K453">_xlfn.XLOOKUP(E453&amp;G453,'3.1 Adq. Bienes y servicios'!$B$7:$B$52&amp;'3.1 Adq. Bienes y servicios'!$E$7:$E$52,'3.1 Adq. Bienes y servicios'!$K$7:$K$52,"-")</f>
        <v>-</v>
      </c>
      <c r="L453" s="768" t="s">
        <v>102</v>
      </c>
    </row>
    <row r="454" spans="2:12">
      <c r="B454" s="764" t="s">
        <v>210</v>
      </c>
      <c r="C454" s="764" t="s">
        <v>50</v>
      </c>
      <c r="D454" s="764" t="s">
        <v>211</v>
      </c>
      <c r="E454" s="764" t="s">
        <v>247</v>
      </c>
      <c r="F454" s="764" t="s">
        <v>102</v>
      </c>
      <c r="G454" s="764" t="s">
        <v>106</v>
      </c>
      <c r="H454" s="765" cm="1">
        <f t="array" ref="H454">_xlfn.XLOOKUP(E454&amp;G454,'3.1 Adq. Bienes y servicios'!$B$7:$B$52&amp;'3.1 Adq. Bienes y servicios'!$E$7:$E$52,'3.1 Adq. Bienes y servicios'!$H$7:$H$52,"-")</f>
        <v>3267</v>
      </c>
      <c r="I454" s="764" t="str" cm="1">
        <f t="array" ref="I454">_xlfn.XLOOKUP(E454&amp;G454,'3.1 Adq. Bienes y servicios'!$B$7:$B$52&amp;'3.1 Adq. Bienes y servicios'!$E$7:$E$52,'3.1 Adq. Bienes y servicios'!$I$7:$I$52,"-")</f>
        <v>kgCO2e/toneladas</v>
      </c>
      <c r="J454" s="764" t="str" cm="1">
        <f t="array" ref="J454">_xlfn.XLOOKUP(E454&amp;G454,'3.1 Adq. Bienes y servicios'!$B$7:$B$52&amp;'3.1 Adq. Bienes y servicios'!$E$7:$E$52,'3.1 Adq. Bienes y servicios'!$J$7:$J$52,"-")</f>
        <v>DEFRA 2024, Material use</v>
      </c>
      <c r="K454" s="764" t="str" cm="1">
        <f t="array" ref="K454">_xlfn.XLOOKUP(E454&amp;G454,'3.1 Adq. Bienes y servicios'!$B$7:$B$52&amp;'3.1 Adq. Bienes y servicios'!$E$7:$E$52,'3.1 Adq. Bienes y servicios'!$K$7:$K$52,"-")</f>
        <v>-</v>
      </c>
      <c r="L454" s="768" t="s">
        <v>102</v>
      </c>
    </row>
    <row r="455" spans="2:12">
      <c r="B455" s="764" t="s">
        <v>210</v>
      </c>
      <c r="C455" s="764" t="s">
        <v>50</v>
      </c>
      <c r="D455" s="764" t="s">
        <v>211</v>
      </c>
      <c r="E455" s="764" t="s">
        <v>248</v>
      </c>
      <c r="F455" s="764" t="s">
        <v>102</v>
      </c>
      <c r="G455" s="764" t="s">
        <v>106</v>
      </c>
      <c r="H455" s="765" cm="1">
        <f t="array" ref="H455">_xlfn.XLOOKUP(E455&amp;G455,'3.1 Adq. Bienes y servicios'!$B$7:$B$52&amp;'3.1 Adq. Bienes y servicios'!$E$7:$E$52,'3.1 Adq. Bienes y servicios'!$H$7:$H$52,"-")</f>
        <v>4363.3333300000004</v>
      </c>
      <c r="I455" s="764" t="str" cm="1">
        <f t="array" ref="I455">_xlfn.XLOOKUP(E455&amp;G455,'3.1 Adq. Bienes y servicios'!$B$7:$B$52&amp;'3.1 Adq. Bienes y servicios'!$E$7:$E$52,'3.1 Adq. Bienes y servicios'!$I$7:$I$52,"-")</f>
        <v>kgCO2e/toneladas</v>
      </c>
      <c r="J455" s="764" t="str" cm="1">
        <f t="array" ref="J455">_xlfn.XLOOKUP(E455&amp;G455,'3.1 Adq. Bienes y servicios'!$B$7:$B$52&amp;'3.1 Adq. Bienes y servicios'!$E$7:$E$52,'3.1 Adq. Bienes y servicios'!$J$7:$J$52,"-")</f>
        <v>DEFRA 2024, Material use</v>
      </c>
      <c r="K455" s="764" t="str" cm="1">
        <f t="array" ref="K455">_xlfn.XLOOKUP(E455&amp;G455,'3.1 Adq. Bienes y servicios'!$B$7:$B$52&amp;'3.1 Adq. Bienes y servicios'!$E$7:$E$52,'3.1 Adq. Bienes y servicios'!$K$7:$K$52,"-")</f>
        <v>-</v>
      </c>
      <c r="L455" s="768" t="s">
        <v>102</v>
      </c>
    </row>
    <row r="456" spans="2:12" ht="28.8">
      <c r="B456" s="764" t="s">
        <v>210</v>
      </c>
      <c r="C456" s="764" t="s">
        <v>50</v>
      </c>
      <c r="D456" s="764" t="s">
        <v>211</v>
      </c>
      <c r="E456" s="764" t="s">
        <v>249</v>
      </c>
      <c r="F456" s="764" t="s">
        <v>102</v>
      </c>
      <c r="G456" s="764" t="s">
        <v>106</v>
      </c>
      <c r="H456" s="765" cm="1">
        <f t="array" ref="H456">_xlfn.XLOOKUP(E456&amp;G456,'3.1 Adq. Bienes y servicios'!$B$7:$B$52&amp;'3.1 Adq. Bienes y servicios'!$E$7:$E$52,'3.1 Adq. Bienes y servicios'!$H$7:$H$52,"-")</f>
        <v>24865.475559999999</v>
      </c>
      <c r="I456" s="764" t="str" cm="1">
        <f t="array" ref="I456">_xlfn.XLOOKUP(E456&amp;G456,'3.1 Adq. Bienes y servicios'!$B$7:$B$52&amp;'3.1 Adq. Bienes y servicios'!$E$7:$E$52,'3.1 Adq. Bienes y servicios'!$I$7:$I$52,"-")</f>
        <v>kgCO2e/toneladas</v>
      </c>
      <c r="J456" s="764" t="str" cm="1">
        <f t="array" ref="J456">_xlfn.XLOOKUP(E456&amp;G456,'3.1 Adq. Bienes y servicios'!$B$7:$B$52&amp;'3.1 Adq. Bienes y servicios'!$E$7:$E$52,'3.1 Adq. Bienes y servicios'!$J$7:$J$52,"-")</f>
        <v>DEFRA 2024, Material use</v>
      </c>
      <c r="K456" s="764" t="str" cm="1">
        <f t="array" ref="K456">_xlfn.XLOOKUP(E456&amp;G456,'3.1 Adq. Bienes y servicios'!$B$7:$B$52&amp;'3.1 Adq. Bienes y servicios'!$E$7:$E$52,'3.1 Adq. Bienes y servicios'!$K$7:$K$52,"-")</f>
        <v>-</v>
      </c>
      <c r="L456" s="768" t="s">
        <v>102</v>
      </c>
    </row>
    <row r="457" spans="2:12" ht="28.8">
      <c r="B457" s="764" t="s">
        <v>210</v>
      </c>
      <c r="C457" s="764" t="s">
        <v>50</v>
      </c>
      <c r="D457" s="764" t="s">
        <v>211</v>
      </c>
      <c r="E457" s="764" t="s">
        <v>250</v>
      </c>
      <c r="F457" s="764" t="s">
        <v>102</v>
      </c>
      <c r="G457" s="764" t="s">
        <v>251</v>
      </c>
      <c r="H457" s="765" cm="1">
        <f t="array" ref="H457">_xlfn.XLOOKUP(E457&amp;G457,'3.1 Adq. Bienes y servicios'!$B$7:$B$52&amp;'3.1 Adq. Bienes y servicios'!$E$7:$E$52,'3.1 Adq. Bienes y servicios'!$H$7:$H$52,"-")</f>
        <v>27.6</v>
      </c>
      <c r="I457" s="764" t="str" cm="1">
        <f t="array" ref="I457">_xlfn.XLOOKUP(E457&amp;G457,'3.1 Adq. Bienes y servicios'!$B$7:$B$52&amp;'3.1 Adq. Bienes y servicios'!$E$7:$E$52,'3.1 Adq. Bienes y servicios'!$I$7:$I$52,"-")</f>
        <v>kgCO2e/pieza por noche</v>
      </c>
      <c r="J457" s="764" t="str" cm="1">
        <f t="array" ref="J457">_xlfn.XLOOKUP(E457&amp;G457,'3.1 Adq. Bienes y servicios'!$B$7:$B$52&amp;'3.1 Adq. Bienes y servicios'!$E$7:$E$52,'3.1 Adq. Bienes y servicios'!$J$7:$J$52,"-")</f>
        <v>DEFRA 2024, Hotel stay</v>
      </c>
      <c r="K457" s="764" t="str" cm="1">
        <f t="array" ref="K457">_xlfn.XLOOKUP(E457&amp;G457,'3.1 Adq. Bienes y servicios'!$B$7:$B$52&amp;'3.1 Adq. Bienes y servicios'!$E$7:$E$52,'3.1 Adq. Bienes y servicios'!$K$7:$K$52,"-")</f>
        <v>Se recomienda utilizar como FE propio en plataforma ya que no se encuentra en la lista desplegable de la calculadora</v>
      </c>
      <c r="L457" s="768" t="s">
        <v>102</v>
      </c>
    </row>
    <row r="458" spans="2:12" ht="43.2">
      <c r="B458" s="764" t="s">
        <v>210</v>
      </c>
      <c r="C458" s="764" t="s">
        <v>50</v>
      </c>
      <c r="D458" s="764" t="s">
        <v>211</v>
      </c>
      <c r="E458" s="764" t="s">
        <v>252</v>
      </c>
      <c r="F458" s="764" t="s">
        <v>102</v>
      </c>
      <c r="G458" s="764" t="s">
        <v>253</v>
      </c>
      <c r="H458" s="765" cm="1">
        <f t="array" ref="H458">_xlfn.XLOOKUP(E458&amp;G458,'3.1 Adq. Bienes y servicios'!$B$7:$B$52&amp;'3.1 Adq. Bienes y servicios'!$E$7:$E$52,'3.1 Adq. Bienes y servicios'!$H$7:$H$52,"-")</f>
        <v>3.1440000000000003E-2</v>
      </c>
      <c r="I458" s="764" t="str" cm="1">
        <f t="array" ref="I458">_xlfn.XLOOKUP(E458&amp;G458,'3.1 Adq. Bienes y servicios'!$B$7:$B$52&amp;'3.1 Adq. Bienes y servicios'!$E$7:$E$52,'3.1 Adq. Bienes y servicios'!$I$7:$I$52,"-")</f>
        <v>kgCO2e/jornada de trabajo (8 horas)</v>
      </c>
      <c r="J458" s="764" t="str" cm="1">
        <f t="array" ref="J458">_xlfn.XLOOKUP(E458&amp;G458,'3.1 Adq. Bienes y servicios'!$B$7:$B$52&amp;'3.1 Adq. Bienes y servicios'!$E$7:$E$52,'3.1 Adq. Bienes y servicios'!$J$7:$J$52,"-")</f>
        <v>DEFRA 2024, Homeworking</v>
      </c>
      <c r="K458" s="764" t="str" cm="1">
        <f t="array" ref="K458">_xlfn.XLOOKUP(E458&amp;G458,'3.1 Adq. Bienes y servicios'!$B$7:$B$52&amp;'3.1 Adq. Bienes y servicios'!$E$7:$E$52,'3.1 Adq. Bienes y servicios'!$K$7:$K$52,"-")</f>
        <v>Se recomienda utilizar como FE propio en plataforma ya que no se encuentra en la lista desplegable de la calculadora</v>
      </c>
      <c r="L458" s="768" t="s">
        <v>102</v>
      </c>
    </row>
    <row r="459" spans="2:12" ht="43.2">
      <c r="B459" s="764" t="s">
        <v>210</v>
      </c>
      <c r="C459" s="764" t="s">
        <v>50</v>
      </c>
      <c r="D459" s="764" t="s">
        <v>211</v>
      </c>
      <c r="E459" s="764" t="s">
        <v>254</v>
      </c>
      <c r="F459" s="764" t="s">
        <v>102</v>
      </c>
      <c r="G459" s="764" t="s">
        <v>253</v>
      </c>
      <c r="H459" s="765" cm="1">
        <f t="array" ref="H459">_xlfn.XLOOKUP(E459&amp;G459,'3.1 Adq. Bienes y servicios'!$B$7:$B$52&amp;'3.1 Adq. Bienes y servicios'!$E$7:$E$52,'3.1 Adq. Bienes y servicios'!$H$7:$H$52,"-")</f>
        <v>0.30234</v>
      </c>
      <c r="I459" s="764" t="str" cm="1">
        <f t="array" ref="I459">_xlfn.XLOOKUP(E459&amp;G459,'3.1 Adq. Bienes y servicios'!$B$7:$B$52&amp;'3.1 Adq. Bienes y servicios'!$E$7:$E$52,'3.1 Adq. Bienes y servicios'!$I$7:$I$52,"-")</f>
        <v>kgCO2e/jornada de trabajo (8 horas)</v>
      </c>
      <c r="J459" s="764" t="str" cm="1">
        <f t="array" ref="J459">_xlfn.XLOOKUP(E459&amp;G459,'3.1 Adq. Bienes y servicios'!$B$7:$B$52&amp;'3.1 Adq. Bienes y servicios'!$E$7:$E$52,'3.1 Adq. Bienes y servicios'!$J$7:$J$52,"-")</f>
        <v>DEFRA 2024, Homeworking</v>
      </c>
      <c r="K459" s="764" t="str" cm="1">
        <f t="array" ref="K459">_xlfn.XLOOKUP(E459&amp;G459,'3.1 Adq. Bienes y servicios'!$B$7:$B$52&amp;'3.1 Adq. Bienes y servicios'!$E$7:$E$52,'3.1 Adq. Bienes y servicios'!$K$7:$K$52,"-")</f>
        <v>Se recomienda utilizar como FE propio en plataforma ya que no se encuentra en la lista desplegable de la calculadora</v>
      </c>
      <c r="L459" s="768" t="s">
        <v>102</v>
      </c>
    </row>
    <row r="460" spans="2:12" ht="43.2">
      <c r="B460" s="764" t="s">
        <v>210</v>
      </c>
      <c r="C460" s="764" t="s">
        <v>50</v>
      </c>
      <c r="D460" s="764" t="s">
        <v>211</v>
      </c>
      <c r="E460" s="764" t="s">
        <v>255</v>
      </c>
      <c r="F460" s="764" t="s">
        <v>102</v>
      </c>
      <c r="G460" s="764" t="s">
        <v>253</v>
      </c>
      <c r="H460" s="765" cm="1">
        <f t="array" ref="H460">_xlfn.XLOOKUP(E460&amp;G460,'3.1 Adq. Bienes y servicios'!$B$7:$B$52&amp;'3.1 Adq. Bienes y servicios'!$E$7:$E$52,'3.1 Adq. Bienes y servicios'!$H$7:$H$52,"-")</f>
        <v>0.33378000000000002</v>
      </c>
      <c r="I460" s="764" t="str" cm="1">
        <f t="array" ref="I460">_xlfn.XLOOKUP(E460&amp;G460,'3.1 Adq. Bienes y servicios'!$B$7:$B$52&amp;'3.1 Adq. Bienes y servicios'!$E$7:$E$52,'3.1 Adq. Bienes y servicios'!$I$7:$I$52,"-")</f>
        <v>kgCO2e/jornada de trabajo (8 horas)</v>
      </c>
      <c r="J460" s="764" t="str" cm="1">
        <f t="array" ref="J460">_xlfn.XLOOKUP(E460&amp;G460,'3.1 Adq. Bienes y servicios'!$B$7:$B$52&amp;'3.1 Adq. Bienes y servicios'!$E$7:$E$52,'3.1 Adq. Bienes y servicios'!$J$7:$J$52,"-")</f>
        <v>DEFRA 2024, Homeworking</v>
      </c>
      <c r="K460" s="764" t="str" cm="1">
        <f t="array" ref="K460">_xlfn.XLOOKUP(E460&amp;G460,'3.1 Adq. Bienes y servicios'!$B$7:$B$52&amp;'3.1 Adq. Bienes y servicios'!$E$7:$E$52,'3.1 Adq. Bienes y servicios'!$K$7:$K$52,"-")</f>
        <v>Se recomienda utilizar como FE propio en plataforma ya que no se encuentra en la lista desplegable de la calculadora</v>
      </c>
      <c r="L460" s="768" t="s">
        <v>102</v>
      </c>
    </row>
    <row r="461" spans="2:12" ht="28.8">
      <c r="B461" s="764" t="s">
        <v>210</v>
      </c>
      <c r="C461" s="764" t="s">
        <v>68</v>
      </c>
      <c r="D461" s="764" t="s">
        <v>256</v>
      </c>
      <c r="E461" s="764" t="s">
        <v>257</v>
      </c>
      <c r="F461" s="764" t="s">
        <v>102</v>
      </c>
      <c r="G461" s="764" t="s">
        <v>258</v>
      </c>
      <c r="H461" s="773" cm="1">
        <f t="array" ref="H461">_xlfn.XLOOKUP(E461&amp;G461,'3.2 Transporte de personas'!$B$7:$B$19&amp;'3.2 Transporte de personas'!$E$7:$E$19,'3.2 Transporte de personas'!$F$7:$F$19,"-")</f>
        <v>0.16450000000000001</v>
      </c>
      <c r="I461" s="764" t="str" cm="1">
        <f t="array" ref="I461">_xlfn.XLOOKUP(E461&amp;G461,'3.2 Transporte de personas'!$B$7:$B$19&amp;'3.2 Transporte de personas'!$E$7:$E$19,'3.2 Transporte de personas'!$G$7:$G$19,"-")</f>
        <v>kgCO2e/kilómetros</v>
      </c>
      <c r="J461" s="764" t="str" cm="1">
        <f t="array" ref="J461">_xlfn.XLOOKUP(E461&amp;G461,'3.2 Transporte de personas'!$B$7:$B$19&amp;'3.2 Transporte de personas'!$E$7:$E$19,'3.2 Transporte de personas'!$H$7:$H$19,"-")</f>
        <v>DEFRA 2024, Passenger vehicles</v>
      </c>
      <c r="K461" s="764" t="str" cm="1">
        <f t="array" ref="K461">_xlfn.XLOOKUP(E461&amp;G461,'3.2 Transporte de personas'!$B$7:$B$19&amp;'3.2 Transporte de personas'!$E$7:$E$19,'3.2 Transporte de personas'!$I$7:$I$19,"-")</f>
        <v>-</v>
      </c>
      <c r="L461" s="768" t="s">
        <v>102</v>
      </c>
    </row>
    <row r="462" spans="2:12">
      <c r="B462" s="764" t="s">
        <v>210</v>
      </c>
      <c r="C462" s="764" t="s">
        <v>68</v>
      </c>
      <c r="D462" s="764" t="s">
        <v>256</v>
      </c>
      <c r="E462" s="764" t="s">
        <v>259</v>
      </c>
      <c r="F462" s="764" t="s">
        <v>102</v>
      </c>
      <c r="G462" s="764" t="s">
        <v>258</v>
      </c>
      <c r="H462" s="773" cm="1">
        <f t="array" ref="H462">_xlfn.XLOOKUP(E462&amp;G462,'3.2 Transporte de personas'!$B$7:$B$19&amp;'3.2 Transporte de personas'!$E$7:$E$19,'3.2 Transporte de personas'!$F$7:$F$19,"-")</f>
        <v>0.16983999999999999</v>
      </c>
      <c r="I462" s="764" t="str" cm="1">
        <f t="array" ref="I462">_xlfn.XLOOKUP(E462&amp;G462,'3.2 Transporte de personas'!$B$7:$B$19&amp;'3.2 Transporte de personas'!$E$7:$E$19,'3.2 Transporte de personas'!$G$7:$G$19,"-")</f>
        <v>kgCO2e/kilómetros</v>
      </c>
      <c r="J462" s="764" t="str" cm="1">
        <f t="array" ref="J462">_xlfn.XLOOKUP(E462&amp;G462,'3.2 Transporte de personas'!$B$7:$B$19&amp;'3.2 Transporte de personas'!$E$7:$E$19,'3.2 Transporte de personas'!$H$7:$H$19,"-")</f>
        <v>DEFRA 2024, Passenger vehicles</v>
      </c>
      <c r="K462" s="764" t="str" cm="1">
        <f t="array" ref="K462">_xlfn.XLOOKUP(E462&amp;G462,'3.2 Transporte de personas'!$B$7:$B$19&amp;'3.2 Transporte de personas'!$E$7:$E$19,'3.2 Transporte de personas'!$I$7:$I$19,"-")</f>
        <v>-</v>
      </c>
      <c r="L462" s="768" t="s">
        <v>102</v>
      </c>
    </row>
    <row r="463" spans="2:12">
      <c r="B463" s="764" t="s">
        <v>210</v>
      </c>
      <c r="C463" s="764" t="s">
        <v>68</v>
      </c>
      <c r="D463" s="764" t="s">
        <v>256</v>
      </c>
      <c r="E463" s="764" t="s">
        <v>260</v>
      </c>
      <c r="F463" s="764" t="s">
        <v>102</v>
      </c>
      <c r="G463" s="764" t="s">
        <v>261</v>
      </c>
      <c r="H463" s="773" cm="1">
        <f t="array" ref="H463">_xlfn.XLOOKUP(E463&amp;G463,'3.2 Transporte de personas'!$B$7:$B$19&amp;'3.2 Transporte de personas'!$E$7:$E$19,'3.2 Transporte de personas'!$F$7:$F$19,"-")</f>
        <v>0.14860999999999999</v>
      </c>
      <c r="I463" s="764" t="str" cm="1">
        <f t="array" ref="I463">_xlfn.XLOOKUP(E463&amp;G463,'3.2 Transporte de personas'!$B$7:$B$19&amp;'3.2 Transporte de personas'!$E$7:$E$19,'3.2 Transporte de personas'!$G$7:$G$19,"-")</f>
        <v>kgCO2e/kilómetros-pasajero</v>
      </c>
      <c r="J463" s="764" t="str" cm="1">
        <f t="array" ref="J463">_xlfn.XLOOKUP(E463&amp;G463,'3.2 Transporte de personas'!$B$7:$B$19&amp;'3.2 Transporte de personas'!$E$7:$E$19,'3.2 Transporte de personas'!$H$7:$H$19,"-")</f>
        <v>DEFRA 2024, Business travel - land</v>
      </c>
      <c r="K463" s="764" t="str" cm="1">
        <f t="array" ref="K463">_xlfn.XLOOKUP(E463&amp;G463,'3.2 Transporte de personas'!$B$7:$B$19&amp;'3.2 Transporte de personas'!$E$7:$E$19,'3.2 Transporte de personas'!$I$7:$I$19,"-")</f>
        <v>-</v>
      </c>
      <c r="L463" s="768" t="s">
        <v>102</v>
      </c>
    </row>
    <row r="464" spans="2:12">
      <c r="B464" s="764" t="s">
        <v>210</v>
      </c>
      <c r="C464" s="764" t="s">
        <v>68</v>
      </c>
      <c r="D464" s="764" t="s">
        <v>256</v>
      </c>
      <c r="E464" s="764" t="s">
        <v>262</v>
      </c>
      <c r="F464" s="764" t="s">
        <v>102</v>
      </c>
      <c r="G464" s="764" t="s">
        <v>261</v>
      </c>
      <c r="H464" s="773" cm="1">
        <f t="array" ref="H464">_xlfn.XLOOKUP(E464&amp;G464,'3.2 Transporte de personas'!$B$7:$B$19&amp;'3.2 Transporte de personas'!$E$7:$E$19,'3.2 Transporte de personas'!$F$7:$F$19,"-")</f>
        <v>0.14860999999999999</v>
      </c>
      <c r="I464" s="764" t="str" cm="1">
        <f t="array" ref="I464">_xlfn.XLOOKUP(E464&amp;G464,'3.2 Transporte de personas'!$B$7:$B$19&amp;'3.2 Transporte de personas'!$E$7:$E$19,'3.2 Transporte de personas'!$G$7:$G$19,"-")</f>
        <v>kgCO2e/kilómetros-pasajero</v>
      </c>
      <c r="J464" s="764" t="str" cm="1">
        <f t="array" ref="J464">_xlfn.XLOOKUP(E464&amp;G464,'3.2 Transporte de personas'!$B$7:$B$19&amp;'3.2 Transporte de personas'!$E$7:$E$19,'3.2 Transporte de personas'!$H$7:$H$19,"-")</f>
        <v>DEFRA 2024, Business travel - land</v>
      </c>
      <c r="K464" s="764" t="str" cm="1">
        <f t="array" ref="K464">_xlfn.XLOOKUP(E464&amp;G464,'3.2 Transporte de personas'!$B$7:$B$19&amp;'3.2 Transporte de personas'!$E$7:$E$19,'3.2 Transporte de personas'!$I$7:$I$19,"-")</f>
        <v>-</v>
      </c>
      <c r="L464" s="768" t="s">
        <v>102</v>
      </c>
    </row>
    <row r="465" spans="2:12">
      <c r="B465" s="764" t="s">
        <v>210</v>
      </c>
      <c r="C465" s="764" t="s">
        <v>68</v>
      </c>
      <c r="D465" s="764" t="s">
        <v>256</v>
      </c>
      <c r="E465" s="764" t="s">
        <v>263</v>
      </c>
      <c r="F465" s="764" t="s">
        <v>102</v>
      </c>
      <c r="G465" s="764" t="s">
        <v>258</v>
      </c>
      <c r="H465" s="773" cm="1">
        <f t="array" ref="H465">_xlfn.XLOOKUP(E465&amp;G465,'3.2 Transporte de personas'!$B$7:$B$19&amp;'3.2 Transporte de personas'!$E$7:$E$19,'3.2 Transporte de personas'!$F$7:$F$19,"-")</f>
        <v>0.11367000000000001</v>
      </c>
      <c r="I465" s="764" t="str" cm="1">
        <f t="array" ref="I465">_xlfn.XLOOKUP(E465&amp;G465,'3.2 Transporte de personas'!$B$7:$B$19&amp;'3.2 Transporte de personas'!$E$7:$E$19,'3.2 Transporte de personas'!$G$7:$G$19,"-")</f>
        <v>kgCO2e/kilómetros</v>
      </c>
      <c r="J465" s="764" t="str" cm="1">
        <f t="array" ref="J465">_xlfn.XLOOKUP(E465&amp;G465,'3.2 Transporte de personas'!$B$7:$B$19&amp;'3.2 Transporte de personas'!$E$7:$E$19,'3.2 Transporte de personas'!$H$7:$H$19,"-")</f>
        <v>DEFRA 2024, Passenger vehicles</v>
      </c>
      <c r="K465" s="764" t="str" cm="1">
        <f t="array" ref="K465">_xlfn.XLOOKUP(E465&amp;G465,'3.2 Transporte de personas'!$B$7:$B$19&amp;'3.2 Transporte de personas'!$E$7:$E$19,'3.2 Transporte de personas'!$I$7:$I$19,"-")</f>
        <v>-</v>
      </c>
      <c r="L465" s="768" t="s">
        <v>102</v>
      </c>
    </row>
    <row r="466" spans="2:12" ht="28.8">
      <c r="B466" s="764" t="s">
        <v>210</v>
      </c>
      <c r="C466" s="764" t="s">
        <v>68</v>
      </c>
      <c r="D466" s="764" t="s">
        <v>256</v>
      </c>
      <c r="E466" s="764" t="s">
        <v>264</v>
      </c>
      <c r="F466" s="764" t="s">
        <v>102</v>
      </c>
      <c r="G466" s="764" t="s">
        <v>261</v>
      </c>
      <c r="H466" s="773" cm="1">
        <f t="array" ref="H466">_xlfn.XLOOKUP(E466&amp;G466,'3.2 Transporte de personas'!$B$7:$B$19&amp;'3.2 Transporte de personas'!$E$7:$E$19,'3.2 Transporte de personas'!$F$7:$F$19,"-")</f>
        <v>2.717E-2</v>
      </c>
      <c r="I466" s="764" t="str" cm="1">
        <f t="array" ref="I466">_xlfn.XLOOKUP(E466&amp;G466,'3.2 Transporte de personas'!$B$7:$B$19&amp;'3.2 Transporte de personas'!$E$7:$E$19,'3.2 Transporte de personas'!$G$7:$G$19,"-")</f>
        <v>kgCO2e/kilómetros-pasajero</v>
      </c>
      <c r="J466" s="764" t="str" cm="1">
        <f t="array" ref="J466">_xlfn.XLOOKUP(E466&amp;G466,'3.2 Transporte de personas'!$B$7:$B$19&amp;'3.2 Transporte de personas'!$E$7:$E$19,'3.2 Transporte de personas'!$H$7:$H$19,"-")</f>
        <v>DEFRA 2024, Business travel - land</v>
      </c>
      <c r="K466" s="764" t="str" cm="1">
        <f t="array" ref="K466">_xlfn.XLOOKUP(E466&amp;G466,'3.2 Transporte de personas'!$B$7:$B$19&amp;'3.2 Transporte de personas'!$E$7:$E$19,'3.2 Transporte de personas'!$I$7:$I$19,"-")</f>
        <v>-</v>
      </c>
      <c r="L466" s="768" t="s">
        <v>102</v>
      </c>
    </row>
    <row r="467" spans="2:12">
      <c r="B467" s="764" t="s">
        <v>210</v>
      </c>
      <c r="C467" s="764" t="s">
        <v>68</v>
      </c>
      <c r="D467" s="764" t="s">
        <v>256</v>
      </c>
      <c r="E467" s="764" t="s">
        <v>265</v>
      </c>
      <c r="F467" s="764" t="s">
        <v>102</v>
      </c>
      <c r="G467" s="764" t="s">
        <v>261</v>
      </c>
      <c r="H467" s="773" cm="1">
        <f t="array" ref="H467">_xlfn.XLOOKUP(E467&amp;G467,'3.2 Transporte de personas'!$B$7:$B$19&amp;'3.2 Transporte de personas'!$E$7:$E$19,'3.2 Transporte de personas'!$F$7:$F$19,"-")</f>
        <v>0.12998999999999999</v>
      </c>
      <c r="I467" s="764" t="str" cm="1">
        <f t="array" ref="I467">_xlfn.XLOOKUP(E467&amp;G467,'3.2 Transporte de personas'!$B$7:$B$19&amp;'3.2 Transporte de personas'!$E$7:$E$19,'3.2 Transporte de personas'!$G$7:$G$19,"-")</f>
        <v>kgCO2e/kilómetros-pasajero</v>
      </c>
      <c r="J467" s="764" t="str" cm="1">
        <f t="array" ref="J467">_xlfn.XLOOKUP(E467&amp;G467,'3.2 Transporte de personas'!$B$7:$B$19&amp;'3.2 Transporte de personas'!$E$7:$E$19,'3.2 Transporte de personas'!$H$7:$H$19,"-")</f>
        <v>DEFRA 2024, Business travel - land</v>
      </c>
      <c r="K467" s="764" t="str" cm="1">
        <f t="array" ref="K467">_xlfn.XLOOKUP(E467&amp;G467,'3.2 Transporte de personas'!$B$7:$B$19&amp;'3.2 Transporte de personas'!$E$7:$E$19,'3.2 Transporte de personas'!$I$7:$I$19,"-")</f>
        <v>-</v>
      </c>
      <c r="L467" s="768" t="s">
        <v>102</v>
      </c>
    </row>
    <row r="468" spans="2:12">
      <c r="B468" s="764" t="s">
        <v>210</v>
      </c>
      <c r="C468" s="764" t="s">
        <v>68</v>
      </c>
      <c r="D468" s="764" t="s">
        <v>256</v>
      </c>
      <c r="E468" s="764" t="s">
        <v>266</v>
      </c>
      <c r="F468" s="764" t="s">
        <v>102</v>
      </c>
      <c r="G468" s="764" t="s">
        <v>261</v>
      </c>
      <c r="H468" s="773" cm="1">
        <f t="array" ref="H468">_xlfn.XLOOKUP(E468&amp;G468,'3.2 Transporte de personas'!$B$7:$B$19&amp;'3.2 Transporte de personas'!$E$7:$E$19,'3.2 Transporte de personas'!$F$7:$F$19,"-")</f>
        <v>0.10846</v>
      </c>
      <c r="I468" s="764" t="str" cm="1">
        <f t="array" ref="I468">_xlfn.XLOOKUP(E468&amp;G468,'3.2 Transporte de personas'!$B$7:$B$19&amp;'3.2 Transporte de personas'!$E$7:$E$19,'3.2 Transporte de personas'!$G$7:$G$19,"-")</f>
        <v>kgCO2e/kilómetros-pasajero</v>
      </c>
      <c r="J468" s="764" t="str" cm="1">
        <f t="array" ref="J468">_xlfn.XLOOKUP(E468&amp;G468,'3.2 Transporte de personas'!$B$7:$B$19&amp;'3.2 Transporte de personas'!$E$7:$E$19,'3.2 Transporte de personas'!$H$7:$H$19,"-")</f>
        <v>DEFRA 2024, Business travel - land</v>
      </c>
      <c r="K468" s="764" t="str" cm="1">
        <f t="array" ref="K468">_xlfn.XLOOKUP(E468&amp;G468,'3.2 Transporte de personas'!$B$7:$B$19&amp;'3.2 Transporte de personas'!$E$7:$E$19,'3.2 Transporte de personas'!$I$7:$I$19,"-")</f>
        <v>-</v>
      </c>
      <c r="L468" s="768" t="s">
        <v>102</v>
      </c>
    </row>
    <row r="469" spans="2:12" ht="28.8">
      <c r="B469" s="764" t="s">
        <v>210</v>
      </c>
      <c r="C469" s="764" t="s">
        <v>68</v>
      </c>
      <c r="D469" s="764" t="s">
        <v>256</v>
      </c>
      <c r="E469" s="764" t="s">
        <v>267</v>
      </c>
      <c r="F469" s="764" t="s">
        <v>102</v>
      </c>
      <c r="G469" s="764" t="s">
        <v>261</v>
      </c>
      <c r="H469" s="773" cm="1">
        <f t="array" ref="H469">_xlfn.XLOOKUP(E469&amp;G469,'3.2 Transporte de personas'!$B$7:$B$19&amp;'3.2 Transporte de personas'!$E$7:$E$19,'3.2 Transporte de personas'!$F$7:$F$19,"-")</f>
        <v>1.6E-2</v>
      </c>
      <c r="I469" s="764" t="str" cm="1">
        <f t="array" ref="I469">_xlfn.XLOOKUP(E469&amp;G469,'3.2 Transporte de personas'!$B$7:$B$19&amp;'3.2 Transporte de personas'!$E$7:$E$19,'3.2 Transporte de personas'!$G$7:$G$19,"-")</f>
        <v>kgCO2e/kilómetros-pasajero</v>
      </c>
      <c r="J469" s="764" t="str" cm="1">
        <f t="array" ref="J469">_xlfn.XLOOKUP(E469&amp;G469,'3.2 Transporte de personas'!$B$7:$B$19&amp;'3.2 Transporte de personas'!$E$7:$E$19,'3.2 Transporte de personas'!$H$7:$H$19,"-")</f>
        <v>-</v>
      </c>
      <c r="K469" s="764" t="str" cm="1">
        <f t="array" ref="K469">_xlfn.XLOOKUP(E469&amp;G469,'3.2 Transporte de personas'!$B$7:$B$19&amp;'3.2 Transporte de personas'!$E$7:$E$19,'3.2 Transporte de personas'!$I$7:$I$19,"-")</f>
        <v>Memoria Integrada Metro 2023, Página 103. Disponible en: https://www.metro.cl/gobierno-corporativo/memoria</v>
      </c>
      <c r="L469" s="768" t="s">
        <v>102</v>
      </c>
    </row>
    <row r="470" spans="2:12">
      <c r="B470" s="764" t="s">
        <v>210</v>
      </c>
      <c r="C470" s="764" t="s">
        <v>68</v>
      </c>
      <c r="D470" s="764" t="s">
        <v>256</v>
      </c>
      <c r="E470" s="764" t="s">
        <v>268</v>
      </c>
      <c r="F470" s="764" t="s">
        <v>102</v>
      </c>
      <c r="G470" s="764" t="s">
        <v>261</v>
      </c>
      <c r="H470" s="773" cm="1">
        <f t="array" ref="H470">_xlfn.XLOOKUP(E470&amp;G470,'3.2 Transporte de personas'!$B$7:$B$19&amp;'3.2 Transporte de personas'!$E$7:$E$19,'3.2 Transporte de personas'!$F$7:$F$19,"-")</f>
        <v>3.5459999999999998E-2</v>
      </c>
      <c r="I470" s="764" t="str" cm="1">
        <f t="array" ref="I470">_xlfn.XLOOKUP(E470&amp;G470,'3.2 Transporte de personas'!$B$7:$B$19&amp;'3.2 Transporte de personas'!$E$7:$E$19,'3.2 Transporte de personas'!$G$7:$G$19,"-")</f>
        <v>kgCO2e/kilómetros-pasajero</v>
      </c>
      <c r="J470" s="764" t="str" cm="1">
        <f t="array" ref="J470">_xlfn.XLOOKUP(E470&amp;G470,'3.2 Transporte de personas'!$B$7:$B$19&amp;'3.2 Transporte de personas'!$E$7:$E$19,'3.2 Transporte de personas'!$H$7:$H$19,"-")</f>
        <v>DEFRA 2024, Business travel - land</v>
      </c>
      <c r="K470" s="768" t="str" cm="1">
        <f t="array" ref="K470">_xlfn.XLOOKUP(E470&amp;G470,'3.2 Transporte de personas'!$B$7:$B$19&amp;'3.2 Transporte de personas'!$E$7:$E$19,'3.2 Transporte de personas'!$I$7:$I$19,"-")</f>
        <v>-</v>
      </c>
      <c r="L470" s="768" t="s">
        <v>102</v>
      </c>
    </row>
    <row r="471" spans="2:12">
      <c r="B471" s="764" t="s">
        <v>210</v>
      </c>
      <c r="C471" s="764" t="s">
        <v>68</v>
      </c>
      <c r="D471" s="764" t="s">
        <v>256</v>
      </c>
      <c r="E471" s="764" t="s">
        <v>269</v>
      </c>
      <c r="F471" s="764" t="s">
        <v>102</v>
      </c>
      <c r="G471" s="764" t="s">
        <v>258</v>
      </c>
      <c r="H471" s="773" cm="1">
        <f t="array" ref="H471">_xlfn.XLOOKUP(E471&amp;G471,'3.2 Transporte de personas'!$B$7:$B$19&amp;'3.2 Transporte de personas'!$E$7:$E$19,'3.2 Transporte de personas'!$F$7:$F$19,"-")</f>
        <v>0</v>
      </c>
      <c r="I471" s="764" t="str" cm="1">
        <f t="array" ref="I471">_xlfn.XLOOKUP(E471&amp;G471,'3.2 Transporte de personas'!$B$7:$B$19&amp;'3.2 Transporte de personas'!$E$7:$E$19,'3.2 Transporte de personas'!$G$7:$G$19,"-")</f>
        <v>kgCO2e/kilómetros</v>
      </c>
      <c r="J471" s="764" t="str" cm="1">
        <f t="array" ref="J471">_xlfn.XLOOKUP(E471&amp;G471,'3.2 Transporte de personas'!$B$7:$B$19&amp;'3.2 Transporte de personas'!$E$7:$E$19,'3.2 Transporte de personas'!$H$7:$H$19,"-")</f>
        <v>HuellaChile</v>
      </c>
      <c r="K471" s="764" t="str" cm="1">
        <f t="array" ref="K471">_xlfn.XLOOKUP(E471&amp;G471,'3.2 Transporte de personas'!$B$7:$B$19&amp;'3.2 Transporte de personas'!$E$7:$E$19,'3.2 Transporte de personas'!$I$7:$I$19,"-")</f>
        <v>-</v>
      </c>
      <c r="L471" s="768" t="s">
        <v>102</v>
      </c>
    </row>
    <row r="472" spans="2:12" ht="28.8">
      <c r="B472" s="764" t="s">
        <v>210</v>
      </c>
      <c r="C472" s="764" t="s">
        <v>68</v>
      </c>
      <c r="D472" s="764" t="s">
        <v>256</v>
      </c>
      <c r="E472" s="764" t="s">
        <v>270</v>
      </c>
      <c r="F472" s="764" t="s">
        <v>102</v>
      </c>
      <c r="G472" s="764" t="s">
        <v>258</v>
      </c>
      <c r="H472" s="773" cm="1">
        <f t="array" ref="H472">_xlfn.XLOOKUP(E472&amp;G472,'3.2 Transporte de personas'!$B$7:$B$19&amp;'3.2 Transporte de personas'!$E$7:$E$19,'3.2 Transporte de personas'!$F$7:$F$19,"-")</f>
        <v>0.10853</v>
      </c>
      <c r="I472" s="764" t="str" cm="1">
        <f t="array" ref="I472">_xlfn.XLOOKUP(E472&amp;G472,'3.2 Transporte de personas'!$B$7:$B$19&amp;'3.2 Transporte de personas'!$E$7:$E$19,'3.2 Transporte de personas'!$G$7:$G$19,"-")</f>
        <v>kgCO2e/kilómetros</v>
      </c>
      <c r="J472" s="764" t="str" cm="1">
        <f t="array" ref="J472">_xlfn.XLOOKUP(E472&amp;G472,'3.2 Transporte de personas'!$B$7:$B$19&amp;'3.2 Transporte de personas'!$E$7:$E$19,'3.2 Transporte de personas'!$H$7:$H$19,"-")</f>
        <v>DEFRA 2024, Business travel - land</v>
      </c>
      <c r="K472" s="764" t="str" cm="1">
        <f t="array" ref="K472">_xlfn.XLOOKUP(E472&amp;G472,'3.2 Transporte de personas'!$B$7:$B$19&amp;'3.2 Transporte de personas'!$E$7:$E$19,'3.2 Transporte de personas'!$I$7:$I$19,"-")</f>
        <v>-</v>
      </c>
      <c r="L472" s="768" t="s">
        <v>102</v>
      </c>
    </row>
    <row r="473" spans="2:12" ht="28.8">
      <c r="B473" s="764" t="s">
        <v>210</v>
      </c>
      <c r="C473" s="764" t="s">
        <v>68</v>
      </c>
      <c r="D473" s="764" t="s">
        <v>256</v>
      </c>
      <c r="E473" s="764" t="s">
        <v>271</v>
      </c>
      <c r="F473" s="764" t="s">
        <v>102</v>
      </c>
      <c r="G473" s="764" t="s">
        <v>258</v>
      </c>
      <c r="H473" s="773" cm="1">
        <f t="array" ref="H473">_xlfn.XLOOKUP(E473&amp;G473,'3.2 Transporte de personas'!$B$7:$B$19&amp;'3.2 Transporte de personas'!$E$7:$E$19,'3.2 Transporte de personas'!$F$7:$F$19,"-")</f>
        <v>4.7449999999999999E-2</v>
      </c>
      <c r="I473" s="764" t="str" cm="1">
        <f t="array" ref="I473">_xlfn.XLOOKUP(E473&amp;G473,'3.2 Transporte de personas'!$B$7:$B$19&amp;'3.2 Transporte de personas'!$E$7:$E$19,'3.2 Transporte de personas'!$G$7:$G$19,"-")</f>
        <v>kgCO2e/kilómetros</v>
      </c>
      <c r="J473" s="764" t="str" cm="1">
        <f t="array" ref="J473">_xlfn.XLOOKUP(E473&amp;G473,'3.2 Transporte de personas'!$B$7:$B$19&amp;'3.2 Transporte de personas'!$E$7:$E$19,'3.2 Transporte de personas'!$H$7:$H$19,"-")</f>
        <v>DEFRA 2024, Business travel - land</v>
      </c>
      <c r="K473" s="764" t="str" cm="1">
        <f t="array" ref="K473">_xlfn.XLOOKUP(E473&amp;G473,'3.2 Transporte de personas'!$B$7:$B$19&amp;'3.2 Transporte de personas'!$E$7:$E$19,'3.2 Transporte de personas'!$I$7:$I$19,"-")</f>
        <v>-</v>
      </c>
      <c r="L473" s="768" t="s">
        <v>102</v>
      </c>
    </row>
    <row r="474" spans="2:12" ht="43.2">
      <c r="B474" s="764" t="s">
        <v>210</v>
      </c>
      <c r="C474" s="764" t="s">
        <v>68</v>
      </c>
      <c r="D474" s="764" t="s">
        <v>272</v>
      </c>
      <c r="E474" s="764" t="s">
        <v>273</v>
      </c>
      <c r="F474" s="764" t="s">
        <v>102</v>
      </c>
      <c r="G474" s="764" t="s">
        <v>261</v>
      </c>
      <c r="H474" s="773" cm="1">
        <f t="array" ref="H474">_xlfn.XLOOKUP(E474&amp;G474,'3.2 Transporte de personas'!$B$27:$B$43&amp;'3.2 Transporte de personas'!$E$27:$E$43,'3.2 Transporte de personas'!$F$27:$F$43,"-")</f>
        <v>0.16098000000000001</v>
      </c>
      <c r="I474" s="764" t="str" cm="1">
        <f t="array" ref="I474">_xlfn.XLOOKUP(E474&amp;G474,'3.2 Transporte de personas'!$B$27:$B$43&amp;'3.2 Transporte de personas'!$E$27:$E$43,'3.2 Transporte de personas'!$G$27:$G$43,"-")</f>
        <v>kgCO2e/kilómetros-pasajero</v>
      </c>
      <c r="J474" s="764" t="str" cm="1">
        <f t="array" ref="J474">_xlfn.XLOOKUP(E474&amp;G474,'3.2 Transporte de personas'!$B$27:$B$43&amp;'3.2 Transporte de personas'!$E$27:$E$43,'3.2 Transporte de personas'!$H$27:$H$43,"-")</f>
        <v>DEFRA 2024, Business travel - air</v>
      </c>
      <c r="K474" s="764" t="str" cm="1">
        <f t="array" ref="K474">_xlfn.XLOOKUP(E474&amp;G474,'3.2 Transporte de personas'!$B$27:$B$43&amp;'3.2 Transporte de personas'!$E$27:$E$43,'3.2 Transporte de personas'!$I$27:$I$43,"-")</f>
        <v>-</v>
      </c>
      <c r="L474" s="768" t="s">
        <v>102</v>
      </c>
    </row>
    <row r="475" spans="2:12" ht="28.8">
      <c r="B475" s="764" t="s">
        <v>210</v>
      </c>
      <c r="C475" s="764" t="s">
        <v>68</v>
      </c>
      <c r="D475" s="764" t="s">
        <v>272</v>
      </c>
      <c r="E475" s="764" t="s">
        <v>274</v>
      </c>
      <c r="F475" s="764" t="s">
        <v>102</v>
      </c>
      <c r="G475" s="764" t="s">
        <v>261</v>
      </c>
      <c r="H475" s="773" cm="1">
        <f t="array" ref="H475">_xlfn.XLOOKUP(E475&amp;G475,'3.2 Transporte de personas'!$B$27:$B$43&amp;'3.2 Transporte de personas'!$E$27:$E$43,'3.2 Transporte de personas'!$F$27:$F$43,"-")</f>
        <v>0.10377</v>
      </c>
      <c r="I475" s="764" t="str" cm="1">
        <f t="array" ref="I475">_xlfn.XLOOKUP(E475&amp;G475,'3.2 Transporte de personas'!$B$27:$B$43&amp;'3.2 Transporte de personas'!$E$27:$E$43,'3.2 Transporte de personas'!$G$27:$G$43,"-")</f>
        <v>kgCO2e/kilómetros-pasajero</v>
      </c>
      <c r="J475" s="764" t="str" cm="1">
        <f t="array" ref="J475">_xlfn.XLOOKUP(E475&amp;G475,'3.2 Transporte de personas'!$B$27:$B$43&amp;'3.2 Transporte de personas'!$E$27:$E$43,'3.2 Transporte de personas'!$H$27:$H$43,"-")</f>
        <v>DEFRA 2024, Business travel - air</v>
      </c>
      <c r="K475" s="764" t="str" cm="1">
        <f t="array" ref="K475">_xlfn.XLOOKUP(E475&amp;G475,'3.2 Transporte de personas'!$B$27:$B$43&amp;'3.2 Transporte de personas'!$E$27:$E$43,'3.2 Transporte de personas'!$I$27:$I$43,"-")</f>
        <v>-</v>
      </c>
      <c r="L475" s="768" t="s">
        <v>102</v>
      </c>
    </row>
    <row r="476" spans="2:12" ht="28.8">
      <c r="B476" s="764" t="s">
        <v>210</v>
      </c>
      <c r="C476" s="764" t="s">
        <v>68</v>
      </c>
      <c r="D476" s="764" t="s">
        <v>272</v>
      </c>
      <c r="E476" s="764" t="s">
        <v>275</v>
      </c>
      <c r="F476" s="764" t="s">
        <v>102</v>
      </c>
      <c r="G476" s="764" t="s">
        <v>258</v>
      </c>
      <c r="H476" s="773" cm="1">
        <f t="array" ref="H476">_xlfn.XLOOKUP(E476&amp;G476,'3.2 Transporte de personas'!$B$27:$B$43&amp;'3.2 Transporte de personas'!$E$27:$E$43,'3.2 Transporte de personas'!$F$27:$F$43,"-")</f>
        <v>0.16450000000000001</v>
      </c>
      <c r="I476" s="764" t="str" cm="1">
        <f t="array" ref="I476">_xlfn.XLOOKUP(E476&amp;G476,'3.2 Transporte de personas'!$B$27:$B$43&amp;'3.2 Transporte de personas'!$E$27:$E$43,'3.2 Transporte de personas'!$G$27:$G$43,"-")</f>
        <v>kgCO2e/kilómetros</v>
      </c>
      <c r="J476" s="764" t="str" cm="1">
        <f t="array" ref="J476">_xlfn.XLOOKUP(E476&amp;G476,'3.2 Transporte de personas'!$B$27:$B$43&amp;'3.2 Transporte de personas'!$E$27:$E$43,'3.2 Transporte de personas'!$H$27:$H$43,"-")</f>
        <v>DEFRA 2024, Business travel - land</v>
      </c>
      <c r="K476" s="764" t="str" cm="1">
        <f t="array" ref="K476">_xlfn.XLOOKUP(E476&amp;G476,'3.2 Transporte de personas'!$B$27:$B$43&amp;'3.2 Transporte de personas'!$E$27:$E$43,'3.2 Transporte de personas'!$I$27:$I$43,"-")</f>
        <v>-</v>
      </c>
      <c r="L476" s="768" t="s">
        <v>102</v>
      </c>
    </row>
    <row r="477" spans="2:12" ht="28.8">
      <c r="B477" s="764" t="s">
        <v>210</v>
      </c>
      <c r="C477" s="764" t="s">
        <v>68</v>
      </c>
      <c r="D477" s="764" t="s">
        <v>272</v>
      </c>
      <c r="E477" s="764" t="s">
        <v>276</v>
      </c>
      <c r="F477" s="764" t="s">
        <v>102</v>
      </c>
      <c r="G477" s="764" t="s">
        <v>258</v>
      </c>
      <c r="H477" s="773" cm="1">
        <f t="array" ref="H477">_xlfn.XLOOKUP(E477&amp;G477,'3.2 Transporte de personas'!$B$27:$B$43&amp;'3.2 Transporte de personas'!$E$27:$E$43,'3.2 Transporte de personas'!$F$27:$F$43,"-")</f>
        <v>0.16983999999999999</v>
      </c>
      <c r="I477" s="764" t="str" cm="1">
        <f t="array" ref="I477">_xlfn.XLOOKUP(E477&amp;G477,'3.2 Transporte de personas'!$B$27:$B$43&amp;'3.2 Transporte de personas'!$E$27:$E$43,'3.2 Transporte de personas'!$G$27:$G$43,"-")</f>
        <v>kgCO2e/kilómetros</v>
      </c>
      <c r="J477" s="764" t="str" cm="1">
        <f t="array" ref="J477">_xlfn.XLOOKUP(E477&amp;G477,'3.2 Transporte de personas'!$B$27:$B$43&amp;'3.2 Transporte de personas'!$E$27:$E$43,'3.2 Transporte de personas'!$H$27:$H$43,"-")</f>
        <v>DEFRA 2024, Business travel - land</v>
      </c>
      <c r="K477" s="764" t="str" cm="1">
        <f t="array" ref="K477">_xlfn.XLOOKUP(E477&amp;G477,'3.2 Transporte de personas'!$B$27:$B$43&amp;'3.2 Transporte de personas'!$E$27:$E$43,'3.2 Transporte de personas'!$I$27:$I$43,"-")</f>
        <v>-</v>
      </c>
      <c r="L477" s="768" t="s">
        <v>102</v>
      </c>
    </row>
    <row r="478" spans="2:12">
      <c r="B478" s="764" t="s">
        <v>210</v>
      </c>
      <c r="C478" s="764" t="s">
        <v>68</v>
      </c>
      <c r="D478" s="764" t="s">
        <v>272</v>
      </c>
      <c r="E478" s="764" t="s">
        <v>277</v>
      </c>
      <c r="F478" s="764" t="s">
        <v>102</v>
      </c>
      <c r="G478" s="764" t="s">
        <v>261</v>
      </c>
      <c r="H478" s="773" cm="1">
        <f t="array" ref="H478">_xlfn.XLOOKUP(E478&amp;G478,'3.2 Transporte de personas'!$B$27:$B$43&amp;'3.2 Transporte de personas'!$E$27:$E$43,'3.2 Transporte de personas'!$F$27:$F$43,"-")</f>
        <v>0.14860999999999999</v>
      </c>
      <c r="I478" s="764" t="str" cm="1">
        <f t="array" ref="I478">_xlfn.XLOOKUP(E478&amp;G478,'3.2 Transporte de personas'!$B$27:$B$43&amp;'3.2 Transporte de personas'!$E$27:$E$43,'3.2 Transporte de personas'!$G$27:$G$43,"-")</f>
        <v>kgCO2e/kilómetros-pasajero</v>
      </c>
      <c r="J478" s="764" t="str" cm="1">
        <f t="array" ref="J478">_xlfn.XLOOKUP(E478&amp;G478,'3.2 Transporte de personas'!$B$27:$B$43&amp;'3.2 Transporte de personas'!$E$27:$E$43,'3.2 Transporte de personas'!$H$27:$H$43,"-")</f>
        <v>DEFRA 2024, Business travel - land</v>
      </c>
      <c r="K478" s="764" t="str" cm="1">
        <f t="array" ref="K478">_xlfn.XLOOKUP(E478&amp;G478,'3.2 Transporte de personas'!$B$27:$B$43&amp;'3.2 Transporte de personas'!$E$27:$E$43,'3.2 Transporte de personas'!$I$27:$I$43,"-")</f>
        <v>-</v>
      </c>
      <c r="L478" s="768" t="s">
        <v>102</v>
      </c>
    </row>
    <row r="479" spans="2:12">
      <c r="B479" s="764" t="s">
        <v>210</v>
      </c>
      <c r="C479" s="764" t="s">
        <v>68</v>
      </c>
      <c r="D479" s="764" t="s">
        <v>272</v>
      </c>
      <c r="E479" s="764" t="s">
        <v>278</v>
      </c>
      <c r="F479" s="764" t="s">
        <v>102</v>
      </c>
      <c r="G479" s="764" t="s">
        <v>258</v>
      </c>
      <c r="H479" s="773" cm="1">
        <f t="array" ref="H479">_xlfn.XLOOKUP(E479&amp;G479,'3.2 Transporte de personas'!$B$27:$B$43&amp;'3.2 Transporte de personas'!$E$27:$E$43,'3.2 Transporte de personas'!$F$27:$F$43,"-")</f>
        <v>0.11366999999999999</v>
      </c>
      <c r="I479" s="764" t="str" cm="1">
        <f t="array" ref="I479">_xlfn.XLOOKUP(E479&amp;G479,'3.2 Transporte de personas'!$B$27:$B$43&amp;'3.2 Transporte de personas'!$E$27:$E$43,'3.2 Transporte de personas'!$G$27:$G$43,"-")</f>
        <v>kgCO2e/kilómetros</v>
      </c>
      <c r="J479" s="764" t="str" cm="1">
        <f t="array" ref="J479">_xlfn.XLOOKUP(E479&amp;G479,'3.2 Transporte de personas'!$B$27:$B$43&amp;'3.2 Transporte de personas'!$E$27:$E$43,'3.2 Transporte de personas'!$H$27:$H$43,"-")</f>
        <v>DEFRA 2024, Business travel - land</v>
      </c>
      <c r="K479" s="764" t="str" cm="1">
        <f t="array" ref="K479">_xlfn.XLOOKUP(E479&amp;G479,'3.2 Transporte de personas'!$B$27:$B$43&amp;'3.2 Transporte de personas'!$E$27:$E$43,'3.2 Transporte de personas'!$I$27:$I$43,"-")</f>
        <v>-</v>
      </c>
      <c r="L479" s="768" t="s">
        <v>102</v>
      </c>
    </row>
    <row r="480" spans="2:12" ht="28.8">
      <c r="B480" s="764" t="s">
        <v>210</v>
      </c>
      <c r="C480" s="764" t="s">
        <v>68</v>
      </c>
      <c r="D480" s="764" t="s">
        <v>272</v>
      </c>
      <c r="E480" s="764" t="s">
        <v>279</v>
      </c>
      <c r="F480" s="764" t="s">
        <v>102</v>
      </c>
      <c r="G480" s="764" t="s">
        <v>261</v>
      </c>
      <c r="H480" s="773" cm="1">
        <f t="array" ref="H480">_xlfn.XLOOKUP(E480&amp;G480,'3.2 Transporte de personas'!$B$27:$B$43&amp;'3.2 Transporte de personas'!$E$27:$E$43,'3.2 Transporte de personas'!$F$27:$F$43,"-")</f>
        <v>2.717E-2</v>
      </c>
      <c r="I480" s="764" t="str" cm="1">
        <f t="array" ref="I480">_xlfn.XLOOKUP(E480&amp;G480,'3.2 Transporte de personas'!$B$27:$B$43&amp;'3.2 Transporte de personas'!$E$27:$E$43,'3.2 Transporte de personas'!$G$27:$G$43,"-")</f>
        <v>kgCO2e/kilómetros-pasajero</v>
      </c>
      <c r="J480" s="764" t="str" cm="1">
        <f t="array" ref="J480">_xlfn.XLOOKUP(E480&amp;G480,'3.2 Transporte de personas'!$B$27:$B$43&amp;'3.2 Transporte de personas'!$E$27:$E$43,'3.2 Transporte de personas'!$H$27:$H$43,"-")</f>
        <v>DEFRA 2024, Business travel - land</v>
      </c>
      <c r="K480" s="764" t="str" cm="1">
        <f t="array" ref="K480">_xlfn.XLOOKUP(E480&amp;G480,'3.2 Transporte de personas'!$B$27:$B$43&amp;'3.2 Transporte de personas'!$E$27:$E$43,'3.2 Transporte de personas'!$I$27:$I$43,"-")</f>
        <v>-</v>
      </c>
      <c r="L480" s="768" t="s">
        <v>102</v>
      </c>
    </row>
    <row r="481" spans="2:12" ht="28.8">
      <c r="B481" s="764" t="s">
        <v>210</v>
      </c>
      <c r="C481" s="764" t="s">
        <v>68</v>
      </c>
      <c r="D481" s="764" t="s">
        <v>272</v>
      </c>
      <c r="E481" s="764" t="s">
        <v>280</v>
      </c>
      <c r="F481" s="764" t="s">
        <v>102</v>
      </c>
      <c r="G481" s="764" t="s">
        <v>261</v>
      </c>
      <c r="H481" s="773" cm="1">
        <f t="array" ref="H481">_xlfn.XLOOKUP(E481&amp;G481,'3.2 Transporte de personas'!$B$27:$B$43&amp;'3.2 Transporte de personas'!$E$27:$E$43,'3.2 Transporte de personas'!$F$27:$F$43,"-")</f>
        <v>0.12998999999999999</v>
      </c>
      <c r="I481" s="764" t="str" cm="1">
        <f t="array" ref="I481">_xlfn.XLOOKUP(E481&amp;G481,'3.2 Transporte de personas'!$B$27:$B$43&amp;'3.2 Transporte de personas'!$E$27:$E$43,'3.2 Transporte de personas'!$G$27:$G$43,"-")</f>
        <v>kgCO2e/kilómetros-pasajero</v>
      </c>
      <c r="J481" s="764" t="str" cm="1">
        <f t="array" ref="J481">_xlfn.XLOOKUP(E481&amp;G481,'3.2 Transporte de personas'!$B$27:$B$43&amp;'3.2 Transporte de personas'!$E$27:$E$43,'3.2 Transporte de personas'!$H$27:$H$43,"-")</f>
        <v>DEFRA 2024, Business travel - land</v>
      </c>
      <c r="K481" s="764" t="str" cm="1">
        <f t="array" ref="K481">_xlfn.XLOOKUP(E481&amp;G481,'3.2 Transporte de personas'!$B$27:$B$43&amp;'3.2 Transporte de personas'!$E$27:$E$43,'3.2 Transporte de personas'!$I$27:$I$43,"-")</f>
        <v>-</v>
      </c>
      <c r="L481" s="768" t="s">
        <v>102</v>
      </c>
    </row>
    <row r="482" spans="2:12" ht="28.8">
      <c r="B482" s="764" t="s">
        <v>210</v>
      </c>
      <c r="C482" s="764" t="s">
        <v>68</v>
      </c>
      <c r="D482" s="764" t="s">
        <v>272</v>
      </c>
      <c r="E482" s="764" t="s">
        <v>281</v>
      </c>
      <c r="F482" s="764" t="s">
        <v>102</v>
      </c>
      <c r="G482" s="764" t="s">
        <v>261</v>
      </c>
      <c r="H482" s="773" cm="1">
        <f t="array" ref="H482">_xlfn.XLOOKUP(E482&amp;G482,'3.2 Transporte de personas'!$B$27:$B$43&amp;'3.2 Transporte de personas'!$E$27:$E$43,'3.2 Transporte de personas'!$F$27:$F$43,"-")</f>
        <v>0.10846</v>
      </c>
      <c r="I482" s="764" t="str" cm="1">
        <f t="array" ref="I482">_xlfn.XLOOKUP(E482&amp;G482,'3.2 Transporte de personas'!$B$27:$B$43&amp;'3.2 Transporte de personas'!$E$27:$E$43,'3.2 Transporte de personas'!$G$27:$G$43,"-")</f>
        <v>kgCO2e/kilómetros-pasajero</v>
      </c>
      <c r="J482" s="764" t="str" cm="1">
        <f t="array" ref="J482">_xlfn.XLOOKUP(E482&amp;G482,'3.2 Transporte de personas'!$B$27:$B$43&amp;'3.2 Transporte de personas'!$E$27:$E$43,'3.2 Transporte de personas'!$H$27:$H$43,"-")</f>
        <v>DEFRA 2024, Business travel - land</v>
      </c>
      <c r="K482" s="764" t="str" cm="1">
        <f t="array" ref="K482">_xlfn.XLOOKUP(E482&amp;G482,'3.2 Transporte de personas'!$B$27:$B$43&amp;'3.2 Transporte de personas'!$E$27:$E$43,'3.2 Transporte de personas'!$I$27:$I$43,"-")</f>
        <v>-</v>
      </c>
      <c r="L482" s="768" t="s">
        <v>102</v>
      </c>
    </row>
    <row r="483" spans="2:12" ht="28.8">
      <c r="B483" s="764" t="s">
        <v>210</v>
      </c>
      <c r="C483" s="764" t="s">
        <v>68</v>
      </c>
      <c r="D483" s="764" t="s">
        <v>272</v>
      </c>
      <c r="E483" s="764" t="s">
        <v>282</v>
      </c>
      <c r="F483" s="764" t="s">
        <v>102</v>
      </c>
      <c r="G483" s="764" t="s">
        <v>261</v>
      </c>
      <c r="H483" s="773" cm="1">
        <f t="array" ref="H483">_xlfn.XLOOKUP(E483&amp;G483,'3.2 Transporte de personas'!$B$27:$B$43&amp;'3.2 Transporte de personas'!$E$27:$E$43,'3.2 Transporte de personas'!$F$27:$F$43,"-")</f>
        <v>1.6E-2</v>
      </c>
      <c r="I483" s="764" t="str" cm="1">
        <f t="array" ref="I483">_xlfn.XLOOKUP(E483&amp;G483,'3.2 Transporte de personas'!$B$27:$B$43&amp;'3.2 Transporte de personas'!$E$27:$E$43,'3.2 Transporte de personas'!$G$27:$G$43,"-")</f>
        <v>kgCO2e/kilómetros-pasajero</v>
      </c>
      <c r="J483" s="764" t="str" cm="1">
        <f t="array" ref="J483">_xlfn.XLOOKUP(E483&amp;G483,'3.2 Transporte de personas'!$B$27:$B$43&amp;'3.2 Transporte de personas'!$E$27:$E$43,'3.2 Transporte de personas'!$H$27:$H$43,"-")</f>
        <v>-</v>
      </c>
      <c r="K483" s="764" t="str" cm="1">
        <f t="array" ref="K483">_xlfn.XLOOKUP(E483&amp;G483,'3.2 Transporte de personas'!$B$27:$B$43&amp;'3.2 Transporte de personas'!$E$27:$E$43,'3.2 Transporte de personas'!$I$27:$I$43,"-")</f>
        <v>Memoria Integrada Metro 2023, Página 103. Disponible en: https://www.metro.cl/gobierno-corporativo/memoria</v>
      </c>
      <c r="L483" s="768" t="s">
        <v>102</v>
      </c>
    </row>
    <row r="484" spans="2:12">
      <c r="B484" s="764" t="s">
        <v>210</v>
      </c>
      <c r="C484" s="764" t="s">
        <v>68</v>
      </c>
      <c r="D484" s="764" t="s">
        <v>272</v>
      </c>
      <c r="E484" s="764" t="s">
        <v>283</v>
      </c>
      <c r="F484" s="764" t="s">
        <v>102</v>
      </c>
      <c r="G484" s="764" t="s">
        <v>261</v>
      </c>
      <c r="H484" s="773" cm="1">
        <f t="array" ref="H484">_xlfn.XLOOKUP(E484&amp;G484,'3.2 Transporte de personas'!$B$27:$B$43&amp;'3.2 Transporte de personas'!$E$27:$E$43,'3.2 Transporte de personas'!$F$27:$F$43,"-")</f>
        <v>3.5459999999999998E-2</v>
      </c>
      <c r="I484" s="764" t="str" cm="1">
        <f t="array" ref="I484">_xlfn.XLOOKUP(E484&amp;G484,'3.2 Transporte de personas'!$B$27:$B$43&amp;'3.2 Transporte de personas'!$E$27:$E$43,'3.2 Transporte de personas'!$G$27:$G$43,"-")</f>
        <v>kgCO2e/kilómetros-pasajero</v>
      </c>
      <c r="J484" s="764" t="str" cm="1">
        <f t="array" ref="J484">_xlfn.XLOOKUP(E484&amp;G484,'3.2 Transporte de personas'!$B$27:$B$43&amp;'3.2 Transporte de personas'!$E$27:$E$43,'3.2 Transporte de personas'!$H$27:$H$43,"-")</f>
        <v>DEFRA 2024, Business travel - land</v>
      </c>
      <c r="K484" s="764" t="str" cm="1">
        <f t="array" ref="K484">_xlfn.XLOOKUP(E484&amp;G484,'3.2 Transporte de personas'!$B$27:$B$43&amp;'3.2 Transporte de personas'!$E$27:$E$43,'3.2 Transporte de personas'!$I$27:$I$43,"-")</f>
        <v>-</v>
      </c>
      <c r="L484" s="768" t="s">
        <v>102</v>
      </c>
    </row>
    <row r="485" spans="2:12">
      <c r="B485" s="764" t="s">
        <v>210</v>
      </c>
      <c r="C485" s="764" t="s">
        <v>68</v>
      </c>
      <c r="D485" s="764" t="s">
        <v>272</v>
      </c>
      <c r="E485" s="764" t="s">
        <v>284</v>
      </c>
      <c r="F485" s="764" t="s">
        <v>102</v>
      </c>
      <c r="G485" s="764" t="s">
        <v>258</v>
      </c>
      <c r="H485" s="773" cm="1">
        <f t="array" ref="H485">_xlfn.XLOOKUP(E485&amp;G485,'3.2 Transporte de personas'!$B$27:$B$43&amp;'3.2 Transporte de personas'!$E$27:$E$43,'3.2 Transporte de personas'!$F$27:$F$43,"-")</f>
        <v>0.20729</v>
      </c>
      <c r="I485" s="764" t="str" cm="1">
        <f t="array" ref="I485">_xlfn.XLOOKUP(E485&amp;G485,'3.2 Transporte de personas'!$B$27:$B$43&amp;'3.2 Transporte de personas'!$E$27:$E$43,'3.2 Transporte de personas'!$G$27:$G$43,"-")</f>
        <v>kgCO2e/kilómetros</v>
      </c>
      <c r="J485" s="764" t="str" cm="1">
        <f t="array" ref="J485">_xlfn.XLOOKUP(E485&amp;G485,'3.2 Transporte de personas'!$B$27:$B$43&amp;'3.2 Transporte de personas'!$E$27:$E$43,'3.2 Transporte de personas'!$H$27:$H$43,"-")</f>
        <v>DEFRA 2024, Business travel - land</v>
      </c>
      <c r="K485" s="764" t="str" cm="1">
        <f t="array" ref="K485">_xlfn.XLOOKUP(E485&amp;G485,'3.2 Transporte de personas'!$B$27:$B$43&amp;'3.2 Transporte de personas'!$E$27:$E$43,'3.2 Transporte de personas'!$I$27:$I$43,"-")</f>
        <v>-</v>
      </c>
      <c r="L485" s="768" t="s">
        <v>102</v>
      </c>
    </row>
    <row r="486" spans="2:12">
      <c r="B486" s="764" t="s">
        <v>210</v>
      </c>
      <c r="C486" s="764" t="s">
        <v>68</v>
      </c>
      <c r="D486" s="764" t="s">
        <v>272</v>
      </c>
      <c r="E486" s="764" t="s">
        <v>285</v>
      </c>
      <c r="F486" s="764" t="s">
        <v>102</v>
      </c>
      <c r="G486" s="764" t="s">
        <v>258</v>
      </c>
      <c r="H486" s="773" cm="1">
        <f t="array" ref="H486">_xlfn.XLOOKUP(E486&amp;G486,'3.2 Transporte de personas'!$B$27:$B$43&amp;'3.2 Transporte de personas'!$E$27:$E$43,'3.2 Transporte de personas'!$F$27:$F$43,"-")</f>
        <v>0.16450000000000001</v>
      </c>
      <c r="I486" s="764" t="str" cm="1">
        <f t="array" ref="I486">_xlfn.XLOOKUP(E486&amp;G486,'3.2 Transporte de personas'!$B$27:$B$43&amp;'3.2 Transporte de personas'!$E$27:$E$43,'3.2 Transporte de personas'!$G$27:$G$43,"-")</f>
        <v>kgCO2e/kilómetros</v>
      </c>
      <c r="J486" s="764" t="str" cm="1">
        <f t="array" ref="J486">_xlfn.XLOOKUP(E486&amp;G486,'3.2 Transporte de personas'!$B$27:$B$43&amp;'3.2 Transporte de personas'!$E$27:$E$43,'3.2 Transporte de personas'!$H$27:$H$43,"-")</f>
        <v>DEFRA 2024, Business travel - land</v>
      </c>
      <c r="K486" s="764" t="str" cm="1">
        <f t="array" ref="K486">_xlfn.XLOOKUP(E486&amp;G486,'3.2 Transporte de personas'!$B$27:$B$43&amp;'3.2 Transporte de personas'!$E$27:$E$43,'3.2 Transporte de personas'!$I$27:$I$43,"-")</f>
        <v>-</v>
      </c>
      <c r="L486" s="768" t="s">
        <v>102</v>
      </c>
    </row>
    <row r="487" spans="2:12">
      <c r="B487" s="764" t="s">
        <v>210</v>
      </c>
      <c r="C487" s="764" t="s">
        <v>68</v>
      </c>
      <c r="D487" s="764" t="s">
        <v>272</v>
      </c>
      <c r="E487" s="764" t="s">
        <v>286</v>
      </c>
      <c r="F487" s="764" t="s">
        <v>102</v>
      </c>
      <c r="G487" s="764" t="s">
        <v>258</v>
      </c>
      <c r="H487" s="773" cm="1">
        <f t="array" ref="H487">_xlfn.XLOOKUP(E487&amp;G487,'3.2 Transporte de personas'!$B$27:$B$43&amp;'3.2 Transporte de personas'!$E$27:$E$43,'3.2 Transporte de personas'!$F$27:$F$43,"-")</f>
        <v>4.9250000000000002E-2</v>
      </c>
      <c r="I487" s="764" t="str" cm="1">
        <f t="array" ref="I487">_xlfn.XLOOKUP(E487&amp;G487,'3.2 Transporte de personas'!$B$27:$B$43&amp;'3.2 Transporte de personas'!$E$27:$E$43,'3.2 Transporte de personas'!$G$27:$G$43,"-")</f>
        <v>kgCO2e/kilómetros</v>
      </c>
      <c r="J487" s="764" t="str" cm="1">
        <f t="array" ref="J487">_xlfn.XLOOKUP(E487&amp;G487,'3.2 Transporte de personas'!$B$27:$B$43&amp;'3.2 Transporte de personas'!$E$27:$E$43,'3.2 Transporte de personas'!$H$27:$H$43,"-")</f>
        <v>DEFRA 2024, Business travel - land</v>
      </c>
      <c r="K487" s="764" t="str" cm="1">
        <f t="array" ref="K487">_xlfn.XLOOKUP(E487&amp;G487,'3.2 Transporte de personas'!$B$27:$B$43&amp;'3.2 Transporte de personas'!$E$27:$E$43,'3.2 Transporte de personas'!$I$27:$I$43,"-")</f>
        <v>-</v>
      </c>
      <c r="L487" s="768" t="s">
        <v>102</v>
      </c>
    </row>
    <row r="488" spans="2:12">
      <c r="B488" s="764" t="s">
        <v>210</v>
      </c>
      <c r="C488" s="764" t="s">
        <v>68</v>
      </c>
      <c r="D488" s="764" t="s">
        <v>272</v>
      </c>
      <c r="E488" s="764" t="s">
        <v>287</v>
      </c>
      <c r="F488" s="764" t="s">
        <v>102</v>
      </c>
      <c r="G488" s="764" t="s">
        <v>258</v>
      </c>
      <c r="H488" s="773" cm="1">
        <f t="array" ref="H488">_xlfn.XLOOKUP(E488&amp;G488,'3.2 Transporte de personas'!$B$27:$B$43&amp;'3.2 Transporte de personas'!$E$27:$E$43,'3.2 Transporte de personas'!$F$27:$F$43,"-")</f>
        <v>0.11923</v>
      </c>
      <c r="I488" s="764" t="str" cm="1">
        <f t="array" ref="I488">_xlfn.XLOOKUP(E488&amp;G488,'3.2 Transporte de personas'!$B$27:$B$43&amp;'3.2 Transporte de personas'!$E$27:$E$43,'3.2 Transporte de personas'!$G$27:$G$43,"-")</f>
        <v>kgCO2e/kilómetros</v>
      </c>
      <c r="J488" s="764" t="str" cm="1">
        <f t="array" ref="J488">_xlfn.XLOOKUP(E488&amp;G488,'3.2 Transporte de personas'!$B$27:$B$43&amp;'3.2 Transporte de personas'!$E$27:$E$43,'3.2 Transporte de personas'!$H$27:$H$43,"-")</f>
        <v>DEFRA 2024, Business travel - land</v>
      </c>
      <c r="K488" s="768" t="str" cm="1">
        <f t="array" ref="K488">_xlfn.XLOOKUP(E488&amp;G488,'3.2 Transporte de personas'!$B$27:$B$43&amp;'3.2 Transporte de personas'!$E$27:$E$43,'3.2 Transporte de personas'!$I$27:$I$43,"-")</f>
        <v>-</v>
      </c>
      <c r="L488" s="768" t="s">
        <v>102</v>
      </c>
    </row>
    <row r="489" spans="2:12" ht="28.8">
      <c r="B489" s="764" t="s">
        <v>210</v>
      </c>
      <c r="C489" s="764" t="s">
        <v>68</v>
      </c>
      <c r="D489" s="764" t="s">
        <v>272</v>
      </c>
      <c r="E489" s="764" t="s">
        <v>288</v>
      </c>
      <c r="F489" s="764" t="s">
        <v>102</v>
      </c>
      <c r="G489" s="764" t="s">
        <v>258</v>
      </c>
      <c r="H489" s="773" cm="1">
        <f t="array" ref="H489">_xlfn.XLOOKUP(E489&amp;G489,'3.2 Transporte de personas'!$B$27:$B$43&amp;'3.2 Transporte de personas'!$E$27:$E$43,'3.2 Transporte de personas'!$F$27:$F$43,"-")</f>
        <v>0.10853</v>
      </c>
      <c r="I489" s="764" t="str" cm="1">
        <f t="array" ref="I489">_xlfn.XLOOKUP(E489&amp;G489,'3.2 Transporte de personas'!$B$27:$B$43&amp;'3.2 Transporte de personas'!$E$27:$E$43,'3.2 Transporte de personas'!$G$27:$G$43,"-")</f>
        <v>kgCO2e/kilómetros</v>
      </c>
      <c r="J489" s="764" t="str" cm="1">
        <f t="array" ref="J489">_xlfn.XLOOKUP(E489&amp;G489,'3.2 Transporte de personas'!$B$27:$B$43&amp;'3.2 Transporte de personas'!$E$27:$E$43,'3.2 Transporte de personas'!$H$27:$H$43,"-")</f>
        <v>DEFRA 2024, Business travel - land</v>
      </c>
      <c r="K489" s="764" t="str" cm="1">
        <f t="array" ref="K489">_xlfn.XLOOKUP(E489&amp;G489,'3.2 Transporte de personas'!$B$27:$B$43&amp;'3.2 Transporte de personas'!$E$27:$E$43,'3.2 Transporte de personas'!$I$27:$I$43,"-")</f>
        <v>-</v>
      </c>
      <c r="L489" s="768" t="s">
        <v>102</v>
      </c>
    </row>
    <row r="490" spans="2:12" ht="28.8">
      <c r="B490" s="764" t="s">
        <v>210</v>
      </c>
      <c r="C490" s="764" t="s">
        <v>68</v>
      </c>
      <c r="D490" s="764" t="s">
        <v>272</v>
      </c>
      <c r="E490" s="764" t="s">
        <v>289</v>
      </c>
      <c r="F490" s="764" t="s">
        <v>102</v>
      </c>
      <c r="G490" s="764" t="s">
        <v>258</v>
      </c>
      <c r="H490" s="773" cm="1">
        <f t="array" ref="H490">_xlfn.XLOOKUP(E490&amp;G490,'3.2 Transporte de personas'!$B$27:$B$43&amp;'3.2 Transporte de personas'!$E$27:$E$43,'3.2 Transporte de personas'!$F$27:$F$43,"-")</f>
        <v>4.7449999999999999E-2</v>
      </c>
      <c r="I490" s="764" t="str" cm="1">
        <f t="array" ref="I490">_xlfn.XLOOKUP(E490&amp;G490,'3.2 Transporte de personas'!$B$27:$B$43&amp;'3.2 Transporte de personas'!$E$27:$E$43,'3.2 Transporte de personas'!$G$27:$G$43,"-")</f>
        <v>kgCO2e/kilómetros</v>
      </c>
      <c r="J490" s="764" t="str" cm="1">
        <f t="array" ref="J490">_xlfn.XLOOKUP(E490&amp;G490,'3.2 Transporte de personas'!$B$27:$B$43&amp;'3.2 Transporte de personas'!$E$27:$E$43,'3.2 Transporte de personas'!$H$27:$H$43,"-")</f>
        <v>DEFRA 2024, Business travel - land</v>
      </c>
      <c r="K490" s="764" t="str" cm="1">
        <f t="array" ref="K490">_xlfn.XLOOKUP(E490&amp;G490,'3.2 Transporte de personas'!$B$27:$B$43&amp;'3.2 Transporte de personas'!$E$27:$E$43,'3.2 Transporte de personas'!$I$27:$I$43,"-")</f>
        <v>-</v>
      </c>
      <c r="L490" s="768" t="s">
        <v>102</v>
      </c>
    </row>
    <row r="491" spans="2:12" ht="43.2">
      <c r="B491" s="764" t="s">
        <v>210</v>
      </c>
      <c r="C491" s="764" t="s">
        <v>68</v>
      </c>
      <c r="D491" s="764" t="s">
        <v>290</v>
      </c>
      <c r="E491" s="764" t="s">
        <v>273</v>
      </c>
      <c r="F491" s="764" t="s">
        <v>102</v>
      </c>
      <c r="G491" s="764" t="s">
        <v>261</v>
      </c>
      <c r="H491" s="773" cm="1">
        <f t="array" ref="H491">_xlfn.XLOOKUP(E491&amp;G491,'3.2 Transporte de personas'!$B$50:$B$67&amp;'3.2 Transporte de personas'!$E$50:$E$67,'3.2 Transporte de personas'!$F$50:$F$67,"-")</f>
        <v>0.16098000000000001</v>
      </c>
      <c r="I491" s="764" t="str" cm="1">
        <f t="array" ref="I491">_xlfn.XLOOKUP(E491&amp;G491,'3.2 Transporte de personas'!$B$50:$B$67&amp;'3.2 Transporte de personas'!$E$50:$E$67,'3.2 Transporte de personas'!$G$50:$G$67,"-")</f>
        <v>kgCO2e/kilómetros-pasajero</v>
      </c>
      <c r="J491" s="764" t="str" cm="1">
        <f t="array" ref="J491">_xlfn.XLOOKUP(E491&amp;G491,'3.2 Transporte de personas'!$B$50:$B$67&amp;'3.2 Transporte de personas'!$E$50:$E$67,'3.2 Transporte de personas'!$H$50:$H$67,"-")</f>
        <v>DEFRA 2024, Business travel - air</v>
      </c>
      <c r="K491" s="764" t="str" cm="1">
        <f t="array" ref="K491">_xlfn.XLOOKUP(E491&amp;G491,'3.2 Transporte de personas'!$B$50:$B$67&amp;'3.2 Transporte de personas'!$E$50:$E$67,'3.2 Transporte de personas'!$I$50:$I$67,"-")</f>
        <v>-</v>
      </c>
      <c r="L491" s="768" t="s">
        <v>102</v>
      </c>
    </row>
    <row r="492" spans="2:12" ht="28.8">
      <c r="B492" s="764" t="s">
        <v>210</v>
      </c>
      <c r="C492" s="764" t="s">
        <v>68</v>
      </c>
      <c r="D492" s="764" t="s">
        <v>290</v>
      </c>
      <c r="E492" s="764" t="s">
        <v>274</v>
      </c>
      <c r="F492" s="764" t="s">
        <v>102</v>
      </c>
      <c r="G492" s="764" t="s">
        <v>261</v>
      </c>
      <c r="H492" s="773" cm="1">
        <f t="array" ref="H492">_xlfn.XLOOKUP(E492&amp;G492,'3.2 Transporte de personas'!$B$50:$B$67&amp;'3.2 Transporte de personas'!$E$50:$E$67,'3.2 Transporte de personas'!$F$50:$F$67,"-")</f>
        <v>0.10377</v>
      </c>
      <c r="I492" s="764" t="str" cm="1">
        <f t="array" ref="I492">_xlfn.XLOOKUP(E492&amp;G492,'3.2 Transporte de personas'!$B$50:$B$67&amp;'3.2 Transporte de personas'!$E$50:$E$67,'3.2 Transporte de personas'!$G$50:$G$67,"-")</f>
        <v>kgCO2e/kilómetros-pasajero</v>
      </c>
      <c r="J492" s="764" t="str" cm="1">
        <f t="array" ref="J492">_xlfn.XLOOKUP(E492&amp;G492,'3.2 Transporte de personas'!$B$50:$B$67&amp;'3.2 Transporte de personas'!$E$50:$E$67,'3.2 Transporte de personas'!$H$50:$H$67,"-")</f>
        <v>DEFRA 2024, Business travel - air</v>
      </c>
      <c r="K492" s="764" t="str" cm="1">
        <f t="array" ref="K492">_xlfn.XLOOKUP(E492&amp;G492,'3.2 Transporte de personas'!$B$50:$B$67&amp;'3.2 Transporte de personas'!$E$50:$E$67,'3.2 Transporte de personas'!$I$50:$I$67,"-")</f>
        <v>-</v>
      </c>
      <c r="L492" s="768" t="s">
        <v>102</v>
      </c>
    </row>
    <row r="493" spans="2:12" ht="28.8">
      <c r="B493" s="764" t="s">
        <v>210</v>
      </c>
      <c r="C493" s="764" t="s">
        <v>68</v>
      </c>
      <c r="D493" s="764" t="s">
        <v>290</v>
      </c>
      <c r="E493" s="764" t="s">
        <v>275</v>
      </c>
      <c r="F493" s="764" t="s">
        <v>102</v>
      </c>
      <c r="G493" s="764" t="s">
        <v>258</v>
      </c>
      <c r="H493" s="773" cm="1">
        <f t="array" ref="H493">_xlfn.XLOOKUP(E493&amp;G493,'3.2 Transporte de personas'!$B$50:$B$67&amp;'3.2 Transporte de personas'!$E$50:$E$67,'3.2 Transporte de personas'!$F$50:$F$67,"-")</f>
        <v>0.16450000000000001</v>
      </c>
      <c r="I493" s="764" t="str" cm="1">
        <f t="array" ref="I493">_xlfn.XLOOKUP(E493&amp;G493,'3.2 Transporte de personas'!$B$50:$B$67&amp;'3.2 Transporte de personas'!$E$50:$E$67,'3.2 Transporte de personas'!$G$50:$G$67,"-")</f>
        <v>kgCO2e/kilómetros</v>
      </c>
      <c r="J493" s="764" t="str" cm="1">
        <f t="array" ref="J493">_xlfn.XLOOKUP(E493&amp;G493,'3.2 Transporte de personas'!$B$50:$B$67&amp;'3.2 Transporte de personas'!$E$50:$E$67,'3.2 Transporte de personas'!$H$50:$H$67,"-")</f>
        <v>DEFRA 2024, Business travel - land</v>
      </c>
      <c r="K493" s="764" t="str" cm="1">
        <f t="array" ref="K493">_xlfn.XLOOKUP(E493&amp;G493,'3.2 Transporte de personas'!$B$50:$B$67&amp;'3.2 Transporte de personas'!$E$50:$E$67,'3.2 Transporte de personas'!$I$50:$I$67,"-")</f>
        <v>-</v>
      </c>
      <c r="L493" s="768" t="s">
        <v>102</v>
      </c>
    </row>
    <row r="494" spans="2:12" ht="28.8">
      <c r="B494" s="764" t="s">
        <v>210</v>
      </c>
      <c r="C494" s="764" t="s">
        <v>68</v>
      </c>
      <c r="D494" s="764" t="s">
        <v>290</v>
      </c>
      <c r="E494" s="764" t="s">
        <v>276</v>
      </c>
      <c r="F494" s="764" t="s">
        <v>102</v>
      </c>
      <c r="G494" s="764" t="s">
        <v>258</v>
      </c>
      <c r="H494" s="773" cm="1">
        <f t="array" ref="H494">_xlfn.XLOOKUP(E494&amp;G494,'3.2 Transporte de personas'!$B$50:$B$67&amp;'3.2 Transporte de personas'!$E$50:$E$67,'3.2 Transporte de personas'!$F$50:$F$67,"-")</f>
        <v>0.16983999999999999</v>
      </c>
      <c r="I494" s="764" t="str" cm="1">
        <f t="array" ref="I494">_xlfn.XLOOKUP(E494&amp;G494,'3.2 Transporte de personas'!$B$50:$B$67&amp;'3.2 Transporte de personas'!$E$50:$E$67,'3.2 Transporte de personas'!$G$50:$G$67,"-")</f>
        <v>kgCO2e/kilómetros</v>
      </c>
      <c r="J494" s="764" t="str" cm="1">
        <f t="array" ref="J494">_xlfn.XLOOKUP(E494&amp;G494,'3.2 Transporte de personas'!$B$50:$B$67&amp;'3.2 Transporte de personas'!$E$50:$E$67,'3.2 Transporte de personas'!$H$50:$H$67,"-")</f>
        <v>DEFRA 2024, Business travel - land</v>
      </c>
      <c r="K494" s="764" t="str" cm="1">
        <f t="array" ref="K494">_xlfn.XLOOKUP(E494&amp;G494,'3.2 Transporte de personas'!$B$50:$B$67&amp;'3.2 Transporte de personas'!$E$50:$E$67,'3.2 Transporte de personas'!$I$50:$I$67,"-")</f>
        <v>-</v>
      </c>
      <c r="L494" s="768" t="s">
        <v>102</v>
      </c>
    </row>
    <row r="495" spans="2:12">
      <c r="B495" s="764" t="s">
        <v>210</v>
      </c>
      <c r="C495" s="764" t="s">
        <v>68</v>
      </c>
      <c r="D495" s="764" t="s">
        <v>290</v>
      </c>
      <c r="E495" s="764" t="s">
        <v>277</v>
      </c>
      <c r="F495" s="764" t="s">
        <v>102</v>
      </c>
      <c r="G495" s="764" t="s">
        <v>261</v>
      </c>
      <c r="H495" s="773" cm="1">
        <f t="array" ref="H495">_xlfn.XLOOKUP(E495&amp;G495,'3.2 Transporte de personas'!$B$50:$B$67&amp;'3.2 Transporte de personas'!$E$50:$E$67,'3.2 Transporte de personas'!$F$50:$F$67,"-")</f>
        <v>0.14860999999999999</v>
      </c>
      <c r="I495" s="764" t="str" cm="1">
        <f t="array" ref="I495">_xlfn.XLOOKUP(E495&amp;G495,'3.2 Transporte de personas'!$B$50:$B$67&amp;'3.2 Transporte de personas'!$E$50:$E$67,'3.2 Transporte de personas'!$G$50:$G$67,"-")</f>
        <v>kgCO2e/kilómetros-pasajero</v>
      </c>
      <c r="J495" s="764" t="str" cm="1">
        <f t="array" ref="J495">_xlfn.XLOOKUP(E495&amp;G495,'3.2 Transporte de personas'!$B$50:$B$67&amp;'3.2 Transporte de personas'!$E$50:$E$67,'3.2 Transporte de personas'!$H$50:$H$67,"-")</f>
        <v>DEFRA 2024, Business travel - land</v>
      </c>
      <c r="K495" s="764" t="str" cm="1">
        <f t="array" ref="K495">_xlfn.XLOOKUP(E495&amp;G495,'3.2 Transporte de personas'!$B$50:$B$67&amp;'3.2 Transporte de personas'!$E$50:$E$67,'3.2 Transporte de personas'!$I$50:$I$67,"-")</f>
        <v>-</v>
      </c>
      <c r="L495" s="768" t="s">
        <v>102</v>
      </c>
    </row>
    <row r="496" spans="2:12">
      <c r="B496" s="764" t="s">
        <v>210</v>
      </c>
      <c r="C496" s="764" t="s">
        <v>68</v>
      </c>
      <c r="D496" s="764" t="s">
        <v>290</v>
      </c>
      <c r="E496" s="764" t="s">
        <v>278</v>
      </c>
      <c r="F496" s="764" t="s">
        <v>102</v>
      </c>
      <c r="G496" s="764" t="s">
        <v>258</v>
      </c>
      <c r="H496" s="773" cm="1">
        <f t="array" ref="H496">_xlfn.XLOOKUP(E496&amp;G496,'3.2 Transporte de personas'!$B$50:$B$67&amp;'3.2 Transporte de personas'!$E$50:$E$67,'3.2 Transporte de personas'!$F$50:$F$67,"-")</f>
        <v>0.11366999999999999</v>
      </c>
      <c r="I496" s="764" t="str" cm="1">
        <f t="array" ref="I496">_xlfn.XLOOKUP(E496&amp;G496,'3.2 Transporte de personas'!$B$50:$B$67&amp;'3.2 Transporte de personas'!$E$50:$E$67,'3.2 Transporte de personas'!$G$50:$G$67,"-")</f>
        <v>kgCO2e/kilómetros</v>
      </c>
      <c r="J496" s="764" t="str" cm="1">
        <f t="array" ref="J496">_xlfn.XLOOKUP(E496&amp;G496,'3.2 Transporte de personas'!$B$50:$B$67&amp;'3.2 Transporte de personas'!$E$50:$E$67,'3.2 Transporte de personas'!$H$50:$H$67,"-")</f>
        <v>DEFRA 2024, Business travel - land</v>
      </c>
      <c r="K496" s="764" t="str" cm="1">
        <f t="array" ref="K496">_xlfn.XLOOKUP(E496&amp;G496,'3.2 Transporte de personas'!$B$50:$B$67&amp;'3.2 Transporte de personas'!$E$50:$E$67,'3.2 Transporte de personas'!$I$50:$I$67,"-")</f>
        <v>-</v>
      </c>
      <c r="L496" s="768" t="s">
        <v>102</v>
      </c>
    </row>
    <row r="497" spans="2:12" ht="28.8">
      <c r="B497" s="764" t="s">
        <v>210</v>
      </c>
      <c r="C497" s="764" t="s">
        <v>68</v>
      </c>
      <c r="D497" s="764" t="s">
        <v>290</v>
      </c>
      <c r="E497" s="764" t="s">
        <v>279</v>
      </c>
      <c r="F497" s="764" t="s">
        <v>102</v>
      </c>
      <c r="G497" s="764" t="s">
        <v>261</v>
      </c>
      <c r="H497" s="773" cm="1">
        <f t="array" ref="H497">_xlfn.XLOOKUP(E497&amp;G497,'3.2 Transporte de personas'!$B$50:$B$67&amp;'3.2 Transporte de personas'!$E$50:$E$67,'3.2 Transporte de personas'!$F$50:$F$67,"-")</f>
        <v>2.717E-2</v>
      </c>
      <c r="I497" s="764" t="str" cm="1">
        <f t="array" ref="I497">_xlfn.XLOOKUP(E497&amp;G497,'3.2 Transporte de personas'!$B$50:$B$67&amp;'3.2 Transporte de personas'!$E$50:$E$67,'3.2 Transporte de personas'!$G$50:$G$67,"-")</f>
        <v>kgCO2e/kilómetros-pasajero</v>
      </c>
      <c r="J497" s="764" t="str" cm="1">
        <f t="array" ref="J497">_xlfn.XLOOKUP(E497&amp;G497,'3.2 Transporte de personas'!$B$50:$B$67&amp;'3.2 Transporte de personas'!$E$50:$E$67,'3.2 Transporte de personas'!$H$50:$H$67,"-")</f>
        <v>DEFRA 2024, Business travel - land</v>
      </c>
      <c r="K497" s="764" t="str" cm="1">
        <f t="array" ref="K497">_xlfn.XLOOKUP(E497&amp;G497,'3.2 Transporte de personas'!$B$50:$B$67&amp;'3.2 Transporte de personas'!$E$50:$E$67,'3.2 Transporte de personas'!$I$50:$I$67,"-")</f>
        <v>-</v>
      </c>
      <c r="L497" s="768" t="s">
        <v>102</v>
      </c>
    </row>
    <row r="498" spans="2:12" ht="28.8">
      <c r="B498" s="764" t="s">
        <v>210</v>
      </c>
      <c r="C498" s="764" t="s">
        <v>68</v>
      </c>
      <c r="D498" s="764" t="s">
        <v>290</v>
      </c>
      <c r="E498" s="764" t="s">
        <v>280</v>
      </c>
      <c r="F498" s="764" t="s">
        <v>102</v>
      </c>
      <c r="G498" s="764" t="s">
        <v>261</v>
      </c>
      <c r="H498" s="773" cm="1">
        <f t="array" ref="H498">_xlfn.XLOOKUP(E498&amp;G498,'3.2 Transporte de personas'!$B$50:$B$67&amp;'3.2 Transporte de personas'!$E$50:$E$67,'3.2 Transporte de personas'!$F$50:$F$67,"-")</f>
        <v>0.12998999999999999</v>
      </c>
      <c r="I498" s="764" t="str" cm="1">
        <f t="array" ref="I498">_xlfn.XLOOKUP(E498&amp;G498,'3.2 Transporte de personas'!$B$50:$B$67&amp;'3.2 Transporte de personas'!$E$50:$E$67,'3.2 Transporte de personas'!$G$50:$G$67,"-")</f>
        <v>kgCO2e/kilómetros-pasajero</v>
      </c>
      <c r="J498" s="764" t="str" cm="1">
        <f t="array" ref="J498">_xlfn.XLOOKUP(E498&amp;G498,'3.2 Transporte de personas'!$B$50:$B$67&amp;'3.2 Transporte de personas'!$E$50:$E$67,'3.2 Transporte de personas'!$H$50:$H$67,"-")</f>
        <v>DEFRA 2024, Business travel - land</v>
      </c>
      <c r="K498" s="764" t="str" cm="1">
        <f t="array" ref="K498">_xlfn.XLOOKUP(E498&amp;G498,'3.2 Transporte de personas'!$B$50:$B$67&amp;'3.2 Transporte de personas'!$E$50:$E$67,'3.2 Transporte de personas'!$I$50:$I$67,"-")</f>
        <v>-</v>
      </c>
      <c r="L498" s="768" t="s">
        <v>102</v>
      </c>
    </row>
    <row r="499" spans="2:12" ht="28.8">
      <c r="B499" s="764" t="s">
        <v>210</v>
      </c>
      <c r="C499" s="764" t="s">
        <v>68</v>
      </c>
      <c r="D499" s="764" t="s">
        <v>290</v>
      </c>
      <c r="E499" s="764" t="s">
        <v>281</v>
      </c>
      <c r="F499" s="764" t="s">
        <v>102</v>
      </c>
      <c r="G499" s="764" t="s">
        <v>261</v>
      </c>
      <c r="H499" s="773" cm="1">
        <f t="array" ref="H499">_xlfn.XLOOKUP(E499&amp;G499,'3.2 Transporte de personas'!$B$50:$B$67&amp;'3.2 Transporte de personas'!$E$50:$E$67,'3.2 Transporte de personas'!$F$50:$F$67,"-")</f>
        <v>0.10846</v>
      </c>
      <c r="I499" s="764" t="str" cm="1">
        <f t="array" ref="I499">_xlfn.XLOOKUP(E499&amp;G499,'3.2 Transporte de personas'!$B$50:$B$67&amp;'3.2 Transporte de personas'!$E$50:$E$67,'3.2 Transporte de personas'!$G$50:$G$67,"-")</f>
        <v>kgCO2e/kilómetros-pasajero</v>
      </c>
      <c r="J499" s="764" t="str" cm="1">
        <f t="array" ref="J499">_xlfn.XLOOKUP(E499&amp;G499,'3.2 Transporte de personas'!$B$50:$B$67&amp;'3.2 Transporte de personas'!$E$50:$E$67,'3.2 Transporte de personas'!$H$50:$H$67,"-")</f>
        <v>DEFRA 2024, Business travel - land</v>
      </c>
      <c r="K499" s="764" t="str" cm="1">
        <f t="array" ref="K499">_xlfn.XLOOKUP(E499&amp;G499,'3.2 Transporte de personas'!$B$50:$B$67&amp;'3.2 Transporte de personas'!$E$50:$E$67,'3.2 Transporte de personas'!$I$50:$I$67,"-")</f>
        <v>-</v>
      </c>
      <c r="L499" s="768" t="s">
        <v>102</v>
      </c>
    </row>
    <row r="500" spans="2:12" ht="28.8">
      <c r="B500" s="764" t="s">
        <v>210</v>
      </c>
      <c r="C500" s="764" t="s">
        <v>68</v>
      </c>
      <c r="D500" s="764" t="s">
        <v>290</v>
      </c>
      <c r="E500" s="764" t="s">
        <v>282</v>
      </c>
      <c r="F500" s="764" t="s">
        <v>102</v>
      </c>
      <c r="G500" s="764" t="s">
        <v>261</v>
      </c>
      <c r="H500" s="773" cm="1">
        <f t="array" ref="H500">_xlfn.XLOOKUP(E500&amp;G500,'3.2 Transporte de personas'!$B$50:$B$67&amp;'3.2 Transporte de personas'!$E$50:$E$67,'3.2 Transporte de personas'!$F$50:$F$67,"-")</f>
        <v>1.6E-2</v>
      </c>
      <c r="I500" s="764" t="str" cm="1">
        <f t="array" ref="I500">_xlfn.XLOOKUP(E500&amp;G500,'3.2 Transporte de personas'!$B$50:$B$67&amp;'3.2 Transporte de personas'!$E$50:$E$67,'3.2 Transporte de personas'!$G$50:$G$67,"-")</f>
        <v>kgCO2e/kilómetros-pasajero</v>
      </c>
      <c r="J500" s="764" t="str" cm="1">
        <f t="array" ref="J500">_xlfn.XLOOKUP(E500&amp;G500,'3.2 Transporte de personas'!$B$50:$B$67&amp;'3.2 Transporte de personas'!$E$50:$E$67,'3.2 Transporte de personas'!$H$50:$H$67,"-")</f>
        <v>-</v>
      </c>
      <c r="K500" s="764" t="str" cm="1">
        <f t="array" ref="K500">_xlfn.XLOOKUP(E500&amp;G500,'3.2 Transporte de personas'!$B$50:$B$67&amp;'3.2 Transporte de personas'!$E$50:$E$67,'3.2 Transporte de personas'!$I$50:$I$67,"-")</f>
        <v>Memoria Integrada Metro 2023, Página 103. Disponible en: https://www.metro.cl/gobierno-corporativo/memoria</v>
      </c>
      <c r="L500" s="768" t="s">
        <v>102</v>
      </c>
    </row>
    <row r="501" spans="2:12">
      <c r="B501" s="764" t="s">
        <v>210</v>
      </c>
      <c r="C501" s="764" t="s">
        <v>68</v>
      </c>
      <c r="D501" s="764" t="s">
        <v>290</v>
      </c>
      <c r="E501" s="764" t="s">
        <v>283</v>
      </c>
      <c r="F501" s="764" t="s">
        <v>102</v>
      </c>
      <c r="G501" s="764" t="s">
        <v>261</v>
      </c>
      <c r="H501" s="773" cm="1">
        <f t="array" ref="H501">_xlfn.XLOOKUP(E501&amp;G501,'3.2 Transporte de personas'!$B$50:$B$67&amp;'3.2 Transporte de personas'!$E$50:$E$67,'3.2 Transporte de personas'!$F$50:$F$67,"-")</f>
        <v>3.5459999999999998E-2</v>
      </c>
      <c r="I501" s="764" t="str" cm="1">
        <f t="array" ref="I501">_xlfn.XLOOKUP(E501&amp;G501,'3.2 Transporte de personas'!$B$50:$B$67&amp;'3.2 Transporte de personas'!$E$50:$E$67,'3.2 Transporte de personas'!$G$50:$G$67,"-")</f>
        <v>kgCO2e/kilómetros-pasajero</v>
      </c>
      <c r="J501" s="764" t="str" cm="1">
        <f t="array" ref="J501">_xlfn.XLOOKUP(E501&amp;G501,'3.2 Transporte de personas'!$B$50:$B$67&amp;'3.2 Transporte de personas'!$E$50:$E$67,'3.2 Transporte de personas'!$H$50:$H$67,"-")</f>
        <v>DEFRA 2024, Business travel - land</v>
      </c>
      <c r="K501" s="764" t="str" cm="1">
        <f t="array" ref="K501">_xlfn.XLOOKUP(E501&amp;G501,'3.2 Transporte de personas'!$B$50:$B$67&amp;'3.2 Transporte de personas'!$E$50:$E$67,'3.2 Transporte de personas'!$I$50:$I$67,"-")</f>
        <v>-</v>
      </c>
      <c r="L501" s="768" t="s">
        <v>102</v>
      </c>
    </row>
    <row r="502" spans="2:12">
      <c r="B502" s="764" t="s">
        <v>210</v>
      </c>
      <c r="C502" s="764" t="s">
        <v>68</v>
      </c>
      <c r="D502" s="764" t="s">
        <v>290</v>
      </c>
      <c r="E502" s="764" t="s">
        <v>284</v>
      </c>
      <c r="F502" s="764" t="s">
        <v>102</v>
      </c>
      <c r="G502" s="764" t="s">
        <v>258</v>
      </c>
      <c r="H502" s="773" cm="1">
        <f t="array" ref="H502">_xlfn.XLOOKUP(E502&amp;G502,'3.2 Transporte de personas'!$B$50:$B$67&amp;'3.2 Transporte de personas'!$E$50:$E$67,'3.2 Transporte de personas'!$F$50:$F$67,"-")</f>
        <v>0.20729</v>
      </c>
      <c r="I502" s="764" t="str" cm="1">
        <f t="array" ref="I502">_xlfn.XLOOKUP(E502&amp;G502,'3.2 Transporte de personas'!$B$50:$B$67&amp;'3.2 Transporte de personas'!$E$50:$E$67,'3.2 Transporte de personas'!$G$50:$G$67,"-")</f>
        <v>kgCO2e/kilómetros</v>
      </c>
      <c r="J502" s="764" t="str" cm="1">
        <f t="array" ref="J502">_xlfn.XLOOKUP(E502&amp;G502,'3.2 Transporte de personas'!$B$50:$B$67&amp;'3.2 Transporte de personas'!$E$50:$E$67,'3.2 Transporte de personas'!$H$50:$H$67,"-")</f>
        <v>DEFRA 2024, Business travel - land</v>
      </c>
      <c r="K502" s="764" t="str" cm="1">
        <f t="array" ref="K502">_xlfn.XLOOKUP(E502&amp;G502,'3.2 Transporte de personas'!$B$50:$B$67&amp;'3.2 Transporte de personas'!$E$50:$E$67,'3.2 Transporte de personas'!$I$50:$I$67,"-")</f>
        <v>-</v>
      </c>
      <c r="L502" s="768" t="s">
        <v>102</v>
      </c>
    </row>
    <row r="503" spans="2:12">
      <c r="B503" s="764" t="s">
        <v>210</v>
      </c>
      <c r="C503" s="764" t="s">
        <v>68</v>
      </c>
      <c r="D503" s="764" t="s">
        <v>290</v>
      </c>
      <c r="E503" s="764" t="s">
        <v>285</v>
      </c>
      <c r="F503" s="764" t="s">
        <v>102</v>
      </c>
      <c r="G503" s="764" t="s">
        <v>258</v>
      </c>
      <c r="H503" s="773" cm="1">
        <f t="array" ref="H503">_xlfn.XLOOKUP(E503&amp;G503,'3.2 Transporte de personas'!$B$50:$B$67&amp;'3.2 Transporte de personas'!$E$50:$E$67,'3.2 Transporte de personas'!$F$50:$F$67,"-")</f>
        <v>0.16450000000000001</v>
      </c>
      <c r="I503" s="764" t="str" cm="1">
        <f t="array" ref="I503">_xlfn.XLOOKUP(E503&amp;G503,'3.2 Transporte de personas'!$B$50:$B$67&amp;'3.2 Transporte de personas'!$E$50:$E$67,'3.2 Transporte de personas'!$G$50:$G$67,"-")</f>
        <v>kgCO2e/kilómetros</v>
      </c>
      <c r="J503" s="764" t="str" cm="1">
        <f t="array" ref="J503">_xlfn.XLOOKUP(E503&amp;G503,'3.2 Transporte de personas'!$B$50:$B$67&amp;'3.2 Transporte de personas'!$E$50:$E$67,'3.2 Transporte de personas'!$H$50:$H$67,"-")</f>
        <v>DEFRA 2024, Business travel - land</v>
      </c>
      <c r="K503" s="764" t="str" cm="1">
        <f t="array" ref="K503">_xlfn.XLOOKUP(E503&amp;G503,'3.2 Transporte de personas'!$B$50:$B$67&amp;'3.2 Transporte de personas'!$E$50:$E$67,'3.2 Transporte de personas'!$I$50:$I$67,"-")</f>
        <v>-</v>
      </c>
      <c r="L503" s="768" t="s">
        <v>102</v>
      </c>
    </row>
    <row r="504" spans="2:12">
      <c r="B504" s="764" t="s">
        <v>210</v>
      </c>
      <c r="C504" s="764" t="s">
        <v>68</v>
      </c>
      <c r="D504" s="764" t="s">
        <v>290</v>
      </c>
      <c r="E504" s="764" t="s">
        <v>286</v>
      </c>
      <c r="F504" s="764" t="s">
        <v>102</v>
      </c>
      <c r="G504" s="764" t="s">
        <v>258</v>
      </c>
      <c r="H504" s="773" cm="1">
        <f t="array" ref="H504">_xlfn.XLOOKUP(E504&amp;G504,'3.2 Transporte de personas'!$B$50:$B$67&amp;'3.2 Transporte de personas'!$E$50:$E$67,'3.2 Transporte de personas'!$F$50:$F$67,"-")</f>
        <v>4.9250000000000002E-2</v>
      </c>
      <c r="I504" s="764" t="str" cm="1">
        <f t="array" ref="I504">_xlfn.XLOOKUP(E504&amp;G504,'3.2 Transporte de personas'!$B$50:$B$67&amp;'3.2 Transporte de personas'!$E$50:$E$67,'3.2 Transporte de personas'!$G$50:$G$67,"-")</f>
        <v>kgCO2e/kilómetros</v>
      </c>
      <c r="J504" s="764" t="str" cm="1">
        <f t="array" ref="J504">_xlfn.XLOOKUP(E504&amp;G504,'3.2 Transporte de personas'!$B$50:$B$67&amp;'3.2 Transporte de personas'!$E$50:$E$67,'3.2 Transporte de personas'!$H$50:$H$67,"-")</f>
        <v>DEFRA 2024, Business travel - land</v>
      </c>
      <c r="K504" s="764" t="str" cm="1">
        <f t="array" ref="K504">_xlfn.XLOOKUP(E504&amp;G504,'3.2 Transporte de personas'!$B$50:$B$67&amp;'3.2 Transporte de personas'!$E$50:$E$67,'3.2 Transporte de personas'!$I$50:$I$67,"-")</f>
        <v>-</v>
      </c>
      <c r="L504" s="768" t="s">
        <v>102</v>
      </c>
    </row>
    <row r="505" spans="2:12">
      <c r="B505" s="764" t="s">
        <v>210</v>
      </c>
      <c r="C505" s="764" t="s">
        <v>68</v>
      </c>
      <c r="D505" s="764" t="s">
        <v>290</v>
      </c>
      <c r="E505" s="764" t="s">
        <v>269</v>
      </c>
      <c r="F505" s="764" t="s">
        <v>102</v>
      </c>
      <c r="G505" s="764" t="s">
        <v>258</v>
      </c>
      <c r="H505" s="773" cm="1">
        <f t="array" ref="H505">_xlfn.XLOOKUP(E505&amp;G505,'3.2 Transporte de personas'!$B$50:$B$67&amp;'3.2 Transporte de personas'!$E$50:$E$67,'3.2 Transporte de personas'!$F$50:$F$67,"-")</f>
        <v>0</v>
      </c>
      <c r="I505" s="764" t="str" cm="1">
        <f t="array" ref="I505">_xlfn.XLOOKUP(E505&amp;G505,'3.2 Transporte de personas'!$B$50:$B$67&amp;'3.2 Transporte de personas'!$E$50:$E$67,'3.2 Transporte de personas'!$G$50:$G$67,"-")</f>
        <v>kgCO2e/kilómetros</v>
      </c>
      <c r="J505" s="764" t="str" cm="1">
        <f t="array" ref="J505">_xlfn.XLOOKUP(E505&amp;G505,'3.2 Transporte de personas'!$B$50:$B$67&amp;'3.2 Transporte de personas'!$E$50:$E$67,'3.2 Transporte de personas'!$H$50:$H$67,"-")</f>
        <v>HuellaChile</v>
      </c>
      <c r="K505" s="768" t="str" cm="1">
        <f t="array" ref="K505">_xlfn.XLOOKUP(E505&amp;G505,'3.2 Transporte de personas'!$B$50:$B$67&amp;'3.2 Transporte de personas'!$E$50:$E$67,'3.2 Transporte de personas'!$I$50:$I$67,"-")</f>
        <v>-</v>
      </c>
      <c r="L505" s="768" t="s">
        <v>102</v>
      </c>
    </row>
    <row r="506" spans="2:12">
      <c r="B506" s="764" t="s">
        <v>210</v>
      </c>
      <c r="C506" s="764" t="s">
        <v>68</v>
      </c>
      <c r="D506" s="764" t="s">
        <v>290</v>
      </c>
      <c r="E506" s="764" t="s">
        <v>287</v>
      </c>
      <c r="F506" s="764" t="s">
        <v>102</v>
      </c>
      <c r="G506" s="764" t="s">
        <v>258</v>
      </c>
      <c r="H506" s="773" cm="1">
        <f t="array" ref="H506">_xlfn.XLOOKUP(E506&amp;G506,'3.2 Transporte de personas'!$B$50:$B$67&amp;'3.2 Transporte de personas'!$E$50:$E$67,'3.2 Transporte de personas'!$F$50:$F$67,"-")</f>
        <v>0.11923</v>
      </c>
      <c r="I506" s="764" t="str" cm="1">
        <f t="array" ref="I506">_xlfn.XLOOKUP(E506&amp;G506,'3.2 Transporte de personas'!$B$50:$B$67&amp;'3.2 Transporte de personas'!$E$50:$E$67,'3.2 Transporte de personas'!$G$50:$G$67,"-")</f>
        <v>kgCO2e/kilómetros</v>
      </c>
      <c r="J506" s="764" t="str" cm="1">
        <f t="array" ref="J506">_xlfn.XLOOKUP(E506&amp;G506,'3.2 Transporte de personas'!$B$50:$B$67&amp;'3.2 Transporte de personas'!$E$50:$E$67,'3.2 Transporte de personas'!$H$50:$H$67,"-")</f>
        <v>DEFRA 2024, Business travel - land</v>
      </c>
      <c r="K506" s="764" t="str" cm="1">
        <f t="array" ref="K506">_xlfn.XLOOKUP(E506&amp;G506,'3.2 Transporte de personas'!$B$50:$B$67&amp;'3.2 Transporte de personas'!$E$50:$E$67,'3.2 Transporte de personas'!$I$50:$I$67,"-")</f>
        <v>-</v>
      </c>
      <c r="L506" s="768" t="s">
        <v>102</v>
      </c>
    </row>
    <row r="507" spans="2:12" ht="28.8">
      <c r="B507" s="764" t="s">
        <v>210</v>
      </c>
      <c r="C507" s="764" t="s">
        <v>68</v>
      </c>
      <c r="D507" s="764" t="s">
        <v>290</v>
      </c>
      <c r="E507" s="764" t="s">
        <v>288</v>
      </c>
      <c r="F507" s="764" t="s">
        <v>102</v>
      </c>
      <c r="G507" s="764" t="s">
        <v>258</v>
      </c>
      <c r="H507" s="773" cm="1">
        <f t="array" ref="H507">_xlfn.XLOOKUP(E507&amp;G507,'3.2 Transporte de personas'!$B$50:$B$67&amp;'3.2 Transporte de personas'!$E$50:$E$67,'3.2 Transporte de personas'!$F$50:$F$67,"-")</f>
        <v>0.10853</v>
      </c>
      <c r="I507" s="764" t="str" cm="1">
        <f t="array" ref="I507">_xlfn.XLOOKUP(E507&amp;G507,'3.2 Transporte de personas'!$B$50:$B$67&amp;'3.2 Transporte de personas'!$E$50:$E$67,'3.2 Transporte de personas'!$G$50:$G$67,"-")</f>
        <v>kgCO2e/kilómetros</v>
      </c>
      <c r="J507" s="764" t="str" cm="1">
        <f t="array" ref="J507">_xlfn.XLOOKUP(E507&amp;G507,'3.2 Transporte de personas'!$B$50:$B$67&amp;'3.2 Transporte de personas'!$E$50:$E$67,'3.2 Transporte de personas'!$H$50:$H$67,"-")</f>
        <v>DEFRA 2024, Business travel - land</v>
      </c>
      <c r="K507" s="764" t="str" cm="1">
        <f t="array" ref="K507">_xlfn.XLOOKUP(E507&amp;G507,'3.2 Transporte de personas'!$B$50:$B$67&amp;'3.2 Transporte de personas'!$E$50:$E$67,'3.2 Transporte de personas'!$I$50:$I$67,"-")</f>
        <v>-</v>
      </c>
      <c r="L507" s="768" t="s">
        <v>102</v>
      </c>
    </row>
    <row r="508" spans="2:12" ht="28.8">
      <c r="B508" s="764" t="s">
        <v>210</v>
      </c>
      <c r="C508" s="764" t="s">
        <v>68</v>
      </c>
      <c r="D508" s="764" t="s">
        <v>290</v>
      </c>
      <c r="E508" s="764" t="s">
        <v>289</v>
      </c>
      <c r="F508" s="764" t="s">
        <v>102</v>
      </c>
      <c r="G508" s="764" t="s">
        <v>258</v>
      </c>
      <c r="H508" s="773" cm="1">
        <f t="array" ref="H508">_xlfn.XLOOKUP(E508&amp;G508,'3.2 Transporte de personas'!$B$50:$B$67&amp;'3.2 Transporte de personas'!$E$50:$E$67,'3.2 Transporte de personas'!$F$50:$F$67,"-")</f>
        <v>4.7449999999999999E-2</v>
      </c>
      <c r="I508" s="764" t="str" cm="1">
        <f t="array" ref="I508">_xlfn.XLOOKUP(E508&amp;G508,'3.2 Transporte de personas'!$B$50:$B$67&amp;'3.2 Transporte de personas'!$E$50:$E$67,'3.2 Transporte de personas'!$G$50:$G$67,"-")</f>
        <v>kgCO2e/kilómetros</v>
      </c>
      <c r="J508" s="764" t="str" cm="1">
        <f t="array" ref="J508">_xlfn.XLOOKUP(E508&amp;G508,'3.2 Transporte de personas'!$B$50:$B$67&amp;'3.2 Transporte de personas'!$E$50:$E$67,'3.2 Transporte de personas'!$H$50:$H$67,"-")</f>
        <v>DEFRA 2024, Business travel - land</v>
      </c>
      <c r="K508" s="764" t="str" cm="1">
        <f t="array" ref="K508">_xlfn.XLOOKUP(E508&amp;G508,'3.2 Transporte de personas'!$B$50:$B$67&amp;'3.2 Transporte de personas'!$E$50:$E$67,'3.2 Transporte de personas'!$I$50:$I$67,"-")</f>
        <v>-</v>
      </c>
      <c r="L508" s="768" t="s">
        <v>102</v>
      </c>
    </row>
    <row r="509" spans="2:12">
      <c r="B509" s="764" t="s">
        <v>210</v>
      </c>
      <c r="C509" s="764" t="s">
        <v>76</v>
      </c>
      <c r="D509" s="764" t="s">
        <v>291</v>
      </c>
      <c r="E509" s="764" t="s">
        <v>292</v>
      </c>
      <c r="F509" s="764" t="s">
        <v>102</v>
      </c>
      <c r="G509" s="764" t="s">
        <v>293</v>
      </c>
      <c r="H509" s="773" cm="1">
        <f t="array" ref="H509">_xlfn.XLOOKUP(D509&amp;E509&amp;G509,'3.3 Transporte de carga'!$B$7:$B$33&amp;'3.3 Transporte de carga'!$C$7:$C$33&amp;'3.3 Transporte de carga'!$E$7:$E$33,'3.3 Transporte de carga'!$F$7:$F$33,"-")</f>
        <v>0.17852999999999999</v>
      </c>
      <c r="I509" s="764" t="str" cm="1">
        <f t="array" ref="I509">_xlfn.XLOOKUP(D509&amp;E509&amp;G509,'3.3 Transporte de carga'!$B$7:$B$33&amp;'3.3 Transporte de carga'!$C$7:$C$33&amp;'3.3 Transporte de carga'!$E$7:$E$33,'3.3 Transporte de carga'!$G$7:$G$33,"-")</f>
        <v>kgCO2e/tonelada-kilómetro</v>
      </c>
      <c r="J509" s="764" t="str" cm="1">
        <f t="array" ref="J509">_xlfn.XLOOKUP(D509&amp;E509&amp;G509,'3.3 Transporte de carga'!$B$7:$B$33&amp;'3.3 Transporte de carga'!$C$7:$C$33&amp;'3.3 Transporte de carga'!$E$7:$E$33,'3.3 Transporte de carga'!$H$7:$H$33,"-")</f>
        <v>DEFRA 2024, Freighting goods</v>
      </c>
      <c r="K509" s="764" t="s">
        <v>102</v>
      </c>
      <c r="L509" s="768" t="s">
        <v>102</v>
      </c>
    </row>
    <row r="510" spans="2:12">
      <c r="B510" s="764" t="s">
        <v>210</v>
      </c>
      <c r="C510" s="764" t="s">
        <v>76</v>
      </c>
      <c r="D510" s="764" t="s">
        <v>291</v>
      </c>
      <c r="E510" s="764" t="s">
        <v>294</v>
      </c>
      <c r="F510" s="764" t="s">
        <v>102</v>
      </c>
      <c r="G510" s="764" t="s">
        <v>293</v>
      </c>
      <c r="H510" s="773" cm="1">
        <f t="array" ref="H510">_xlfn.XLOOKUP(D510&amp;E510&amp;G510,'3.3 Transporte de carga'!$B$7:$B$33&amp;'3.3 Transporte de carga'!$C$7:$C$33&amp;'3.3 Transporte de carga'!$E$7:$E$33,'3.3 Transporte de carga'!$F$7:$F$33,"-")</f>
        <v>0.50546000000000002</v>
      </c>
      <c r="I510" s="764" t="str" cm="1">
        <f t="array" ref="I510">_xlfn.XLOOKUP(D510&amp;E510&amp;G510,'3.3 Transporte de carga'!$B$7:$B$33&amp;'3.3 Transporte de carga'!$C$7:$C$33&amp;'3.3 Transporte de carga'!$E$7:$E$33,'3.3 Transporte de carga'!$G$7:$G$33,"-")</f>
        <v>kgCO2e/tonelada-kilómetro</v>
      </c>
      <c r="J510" s="764" t="str" cm="1">
        <f t="array" ref="J510">_xlfn.XLOOKUP(D510&amp;E510&amp;G510,'3.3 Transporte de carga'!$B$7:$B$33&amp;'3.3 Transporte de carga'!$C$7:$C$33&amp;'3.3 Transporte de carga'!$E$7:$E$33,'3.3 Transporte de carga'!$H$7:$H$33,"-")</f>
        <v>DEFRA 2024, Freighting goods</v>
      </c>
      <c r="K510" s="764" t="s">
        <v>102</v>
      </c>
      <c r="L510" s="768" t="s">
        <v>102</v>
      </c>
    </row>
    <row r="511" spans="2:12">
      <c r="B511" s="764" t="s">
        <v>210</v>
      </c>
      <c r="C511" s="764" t="s">
        <v>76</v>
      </c>
      <c r="D511" s="764" t="s">
        <v>291</v>
      </c>
      <c r="E511" s="764" t="s">
        <v>295</v>
      </c>
      <c r="F511" s="764" t="s">
        <v>102</v>
      </c>
      <c r="G511" s="764" t="s">
        <v>293</v>
      </c>
      <c r="H511" s="773" cm="1">
        <f t="array" ref="H511">_xlfn.XLOOKUP(D511&amp;E511&amp;G511,'3.3 Transporte de carga'!$B$7:$B$33&amp;'3.3 Transporte de carga'!$C$7:$C$33&amp;'3.3 Transporte de carga'!$E$7:$E$33,'3.3 Transporte de carga'!$F$7:$F$33,"-")</f>
        <v>0.38023000000000001</v>
      </c>
      <c r="I511" s="764" t="str" cm="1">
        <f t="array" ref="I511">_xlfn.XLOOKUP(D511&amp;E511&amp;G511,'3.3 Transporte de carga'!$B$7:$B$33&amp;'3.3 Transporte de carga'!$C$7:$C$33&amp;'3.3 Transporte de carga'!$E$7:$E$33,'3.3 Transporte de carga'!$G$7:$G$33,"-")</f>
        <v>kgCO2e/tonelada-kilómetro</v>
      </c>
      <c r="J511" s="764" t="str" cm="1">
        <f t="array" ref="J511">_xlfn.XLOOKUP(D511&amp;E511&amp;G511,'3.3 Transporte de carga'!$B$7:$B$33&amp;'3.3 Transporte de carga'!$C$7:$C$33&amp;'3.3 Transporte de carga'!$E$7:$E$33,'3.3 Transporte de carga'!$H$7:$H$33,"-")</f>
        <v>DEFRA 2024, Freighting goods</v>
      </c>
      <c r="K511" s="764" t="s">
        <v>102</v>
      </c>
      <c r="L511" s="768" t="s">
        <v>102</v>
      </c>
    </row>
    <row r="512" spans="2:12">
      <c r="B512" s="764" t="s">
        <v>210</v>
      </c>
      <c r="C512" s="764" t="s">
        <v>76</v>
      </c>
      <c r="D512" s="764" t="s">
        <v>291</v>
      </c>
      <c r="E512" s="764" t="s">
        <v>296</v>
      </c>
      <c r="F512" s="764" t="s">
        <v>102</v>
      </c>
      <c r="G512" s="764" t="s">
        <v>293</v>
      </c>
      <c r="H512" s="773" cm="1">
        <f t="array" ref="H512">_xlfn.XLOOKUP(D512&amp;E512&amp;G512,'3.3 Transporte de carga'!$B$7:$B$33&amp;'3.3 Transporte de carga'!$C$7:$C$33&amp;'3.3 Transporte de carga'!$E$7:$E$33,'3.3 Transporte de carga'!$F$7:$F$33,"-")</f>
        <v>0.15398000000000001</v>
      </c>
      <c r="I512" s="764" t="str" cm="1">
        <f t="array" ref="I512">_xlfn.XLOOKUP(D512&amp;E512&amp;G512,'3.3 Transporte de carga'!$B$7:$B$33&amp;'3.3 Transporte de carga'!$C$7:$C$33&amp;'3.3 Transporte de carga'!$E$7:$E$33,'3.3 Transporte de carga'!$G$7:$G$33,"-")</f>
        <v>kgCO2e/tonelada-kilómetro</v>
      </c>
      <c r="J512" s="764" t="str" cm="1">
        <f t="array" ref="J512">_xlfn.XLOOKUP(D512&amp;E512&amp;G512,'3.3 Transporte de carga'!$B$7:$B$33&amp;'3.3 Transporte de carga'!$C$7:$C$33&amp;'3.3 Transporte de carga'!$E$7:$E$33,'3.3 Transporte de carga'!$H$7:$H$33,"-")</f>
        <v>DEFRA 2024, Freighting goods</v>
      </c>
      <c r="K512" s="764" t="s">
        <v>102</v>
      </c>
      <c r="L512" s="768" t="s">
        <v>102</v>
      </c>
    </row>
    <row r="513" spans="2:12" ht="28.8">
      <c r="B513" s="764" t="s">
        <v>210</v>
      </c>
      <c r="C513" s="764" t="s">
        <v>76</v>
      </c>
      <c r="D513" s="764" t="s">
        <v>291</v>
      </c>
      <c r="E513" s="764" t="s">
        <v>297</v>
      </c>
      <c r="F513" s="764" t="s">
        <v>102</v>
      </c>
      <c r="G513" s="764" t="s">
        <v>293</v>
      </c>
      <c r="H513" s="773" cm="1">
        <f t="array" ref="H513">_xlfn.XLOOKUP(D513&amp;E513&amp;G513,'3.3 Transporte de carga'!$B$7:$B$33&amp;'3.3 Transporte de carga'!$C$7:$C$33&amp;'3.3 Transporte de carga'!$E$7:$E$33,'3.3 Transporte de carga'!$F$7:$F$33,"-")</f>
        <v>7.5469999999999995E-2</v>
      </c>
      <c r="I513" s="764" t="str" cm="1">
        <f t="array" ref="I513">_xlfn.XLOOKUP(D513&amp;E513&amp;G513,'3.3 Transporte de carga'!$B$7:$B$33&amp;'3.3 Transporte de carga'!$C$7:$C$33&amp;'3.3 Transporte de carga'!$E$7:$E$33,'3.3 Transporte de carga'!$G$7:$G$33,"-")</f>
        <v>kgCO2e/tonelada-kilómetro</v>
      </c>
      <c r="J513" s="764" t="str" cm="1">
        <f t="array" ref="J513">_xlfn.XLOOKUP(D513&amp;E513&amp;G513,'3.3 Transporte de carga'!$B$7:$B$33&amp;'3.3 Transporte de carga'!$C$7:$C$33&amp;'3.3 Transporte de carga'!$E$7:$E$33,'3.3 Transporte de carga'!$H$7:$H$33,"-")</f>
        <v>DEFRA 2024, Freighting goods</v>
      </c>
      <c r="K513" s="764" t="s">
        <v>102</v>
      </c>
      <c r="L513" s="768" t="s">
        <v>102</v>
      </c>
    </row>
    <row r="514" spans="2:12" ht="28.8">
      <c r="B514" s="764" t="s">
        <v>210</v>
      </c>
      <c r="C514" s="764" t="s">
        <v>76</v>
      </c>
      <c r="D514" s="764" t="s">
        <v>291</v>
      </c>
      <c r="E514" s="764" t="s">
        <v>298</v>
      </c>
      <c r="F514" s="764" t="s">
        <v>102</v>
      </c>
      <c r="G514" s="764" t="s">
        <v>293</v>
      </c>
      <c r="H514" s="773" cm="1">
        <f t="array" ref="H514">_xlfn.XLOOKUP(D514&amp;E514&amp;G514,'3.3 Transporte de carga'!$B$7:$B$33&amp;'3.3 Transporte de carga'!$C$7:$C$33&amp;'3.3 Transporte de carga'!$E$7:$E$33,'3.3 Transporte de carga'!$F$7:$F$33,"-")</f>
        <v>0.11311</v>
      </c>
      <c r="I514" s="764" t="str" cm="1">
        <f t="array" ref="I514">_xlfn.XLOOKUP(D514&amp;E514&amp;G514,'3.3 Transporte de carga'!$B$7:$B$33&amp;'3.3 Transporte de carga'!$C$7:$C$33&amp;'3.3 Transporte de carga'!$E$7:$E$33,'3.3 Transporte de carga'!$G$7:$G$33,"-")</f>
        <v>kgCO2e/tonelada-kilómetro</v>
      </c>
      <c r="J514" s="764" t="str" cm="1">
        <f t="array" ref="J514">_xlfn.XLOOKUP(D514&amp;E514&amp;G514,'3.3 Transporte de carga'!$B$7:$B$33&amp;'3.3 Transporte de carga'!$C$7:$C$33&amp;'3.3 Transporte de carga'!$E$7:$E$33,'3.3 Transporte de carga'!$H$7:$H$33,"-")</f>
        <v>DEFRA 2024, Freighting goods</v>
      </c>
      <c r="K514" s="764" t="s">
        <v>102</v>
      </c>
      <c r="L514" s="768" t="s">
        <v>102</v>
      </c>
    </row>
    <row r="515" spans="2:12">
      <c r="B515" s="764" t="s">
        <v>210</v>
      </c>
      <c r="C515" s="764" t="s">
        <v>76</v>
      </c>
      <c r="D515" s="764" t="s">
        <v>291</v>
      </c>
      <c r="E515" s="764" t="s">
        <v>299</v>
      </c>
      <c r="F515" s="764" t="s">
        <v>102</v>
      </c>
      <c r="G515" s="764" t="s">
        <v>293</v>
      </c>
      <c r="H515" s="773" cm="1">
        <f t="array" ref="H515">_xlfn.XLOOKUP(D515&amp;E515&amp;G515,'3.3 Transporte de carga'!$B$7:$B$33&amp;'3.3 Transporte de carga'!$C$7:$C$33&amp;'3.3 Transporte de carga'!$E$7:$E$33,'3.3 Transporte de carga'!$F$7:$F$33,"-")</f>
        <v>7.4469999999999995E-2</v>
      </c>
      <c r="I515" s="764" t="str" cm="1">
        <f t="array" ref="I515">_xlfn.XLOOKUP(D515&amp;E515&amp;G515,'3.3 Transporte de carga'!$B$7:$B$33&amp;'3.3 Transporte de carga'!$C$7:$C$33&amp;'3.3 Transporte de carga'!$E$7:$E$33,'3.3 Transporte de carga'!$G$7:$G$33,"-")</f>
        <v>kgCO2e/tonelada-kilómetro</v>
      </c>
      <c r="J515" s="764" t="str" cm="1">
        <f t="array" ref="J515">_xlfn.XLOOKUP(D515&amp;E515&amp;G515,'3.3 Transporte de carga'!$B$7:$B$33&amp;'3.3 Transporte de carga'!$C$7:$C$33&amp;'3.3 Transporte de carga'!$E$7:$E$33,'3.3 Transporte de carga'!$H$7:$H$33,"-")</f>
        <v>DEFRA 2024, Freighting goods</v>
      </c>
      <c r="K515" s="764" t="s">
        <v>102</v>
      </c>
      <c r="L515" s="768" t="s">
        <v>102</v>
      </c>
    </row>
    <row r="516" spans="2:12">
      <c r="B516" s="764" t="s">
        <v>210</v>
      </c>
      <c r="C516" s="764" t="s">
        <v>76</v>
      </c>
      <c r="D516" s="764" t="s">
        <v>291</v>
      </c>
      <c r="E516" s="764" t="s">
        <v>300</v>
      </c>
      <c r="F516" s="764" t="s">
        <v>102</v>
      </c>
      <c r="G516" s="764" t="s">
        <v>293</v>
      </c>
      <c r="H516" s="773" cm="1">
        <f t="array" ref="H516">_xlfn.XLOOKUP(D516&amp;E516&amp;G516,'3.3 Transporte de carga'!$B$7:$B$33&amp;'3.3 Transporte de carga'!$C$7:$C$33&amp;'3.3 Transporte de carga'!$E$7:$E$33,'3.3 Transporte de carga'!$F$7:$F$33,"-")</f>
        <v>9.7519999999999996E-2</v>
      </c>
      <c r="I516" s="764" t="str" cm="1">
        <f t="array" ref="I516">_xlfn.XLOOKUP(D516&amp;E516&amp;G516,'3.3 Transporte de carga'!$B$7:$B$33&amp;'3.3 Transporte de carga'!$C$7:$C$33&amp;'3.3 Transporte de carga'!$E$7:$E$33,'3.3 Transporte de carga'!$G$7:$G$33,"-")</f>
        <v>kgCO2e/tonelada-kilómetro</v>
      </c>
      <c r="J516" s="764" t="str" cm="1">
        <f t="array" ref="J516">_xlfn.XLOOKUP(D516&amp;E516&amp;G516,'3.3 Transporte de carga'!$B$7:$B$33&amp;'3.3 Transporte de carga'!$C$7:$C$33&amp;'3.3 Transporte de carga'!$E$7:$E$33,'3.3 Transporte de carga'!$H$7:$H$33,"-")</f>
        <v>DEFRA 2024, Freighting goods</v>
      </c>
      <c r="K516" s="764" t="s">
        <v>102</v>
      </c>
      <c r="L516" s="768" t="s">
        <v>102</v>
      </c>
    </row>
    <row r="517" spans="2:12">
      <c r="B517" s="764" t="s">
        <v>210</v>
      </c>
      <c r="C517" s="764" t="s">
        <v>76</v>
      </c>
      <c r="D517" s="764" t="s">
        <v>291</v>
      </c>
      <c r="E517" s="764" t="s">
        <v>301</v>
      </c>
      <c r="F517" s="764" t="s">
        <v>102</v>
      </c>
      <c r="G517" s="764" t="s">
        <v>293</v>
      </c>
      <c r="H517" s="773" cm="1">
        <f t="array" ref="H517">_xlfn.XLOOKUP(D517&amp;E517&amp;G517,'3.3 Transporte de carga'!$B$7:$B$33&amp;'3.3 Transporte de carga'!$C$7:$C$33&amp;'3.3 Transporte de carga'!$E$7:$E$33,'3.3 Transporte de carga'!$F$7:$F$33,"-")</f>
        <v>2.7789999999999999E-2</v>
      </c>
      <c r="I517" s="764" t="str" cm="1">
        <f t="array" ref="I517">_xlfn.XLOOKUP(D517&amp;E517&amp;G517,'3.3 Transporte de carga'!$B$7:$B$33&amp;'3.3 Transporte de carga'!$C$7:$C$33&amp;'3.3 Transporte de carga'!$E$7:$E$33,'3.3 Transporte de carga'!$G$7:$G$33,"-")</f>
        <v>kgCO2e/tonelada-kilómetro</v>
      </c>
      <c r="J517" s="764" t="str" cm="1">
        <f t="array" ref="J517">_xlfn.XLOOKUP(D517&amp;E517&amp;G517,'3.3 Transporte de carga'!$B$7:$B$33&amp;'3.3 Transporte de carga'!$C$7:$C$33&amp;'3.3 Transporte de carga'!$E$7:$E$33,'3.3 Transporte de carga'!$H$7:$H$33,"-")</f>
        <v>DEFRA 2024, Freighting goods</v>
      </c>
      <c r="K517" s="764" t="s">
        <v>102</v>
      </c>
      <c r="L517" s="768" t="s">
        <v>102</v>
      </c>
    </row>
    <row r="518" spans="2:12" ht="28.8">
      <c r="B518" s="764" t="s">
        <v>210</v>
      </c>
      <c r="C518" s="764" t="s">
        <v>76</v>
      </c>
      <c r="D518" s="764" t="s">
        <v>291</v>
      </c>
      <c r="E518" s="764" t="s">
        <v>302</v>
      </c>
      <c r="F518" s="764" t="s">
        <v>102</v>
      </c>
      <c r="G518" s="764" t="s">
        <v>293</v>
      </c>
      <c r="H518" s="773" cm="1">
        <f t="array" ref="H518">_xlfn.XLOOKUP(D518&amp;E518&amp;G518,'3.3 Transporte de carga'!$B$7:$B$33&amp;'3.3 Transporte de carga'!$C$7:$C$33&amp;'3.3 Transporte de carga'!$E$7:$E$33,'3.3 Transporte de carga'!$F$7:$F$33,"-")</f>
        <v>0.61643000000000003</v>
      </c>
      <c r="I518" s="764" t="str" cm="1">
        <f t="array" ref="I518">_xlfn.XLOOKUP(D518&amp;E518&amp;G518,'3.3 Transporte de carga'!$B$7:$B$33&amp;'3.3 Transporte de carga'!$C$7:$C$33&amp;'3.3 Transporte de carga'!$E$7:$E$33,'3.3 Transporte de carga'!$G$7:$G$33,"-")</f>
        <v>kgCO2e/tonelada-kilómetro</v>
      </c>
      <c r="J518" s="764" t="str" cm="1">
        <f t="array" ref="J518">_xlfn.XLOOKUP(D518&amp;E518&amp;G518,'3.3 Transporte de carga'!$B$7:$B$33&amp;'3.3 Transporte de carga'!$C$7:$C$33&amp;'3.3 Transporte de carga'!$E$7:$E$33,'3.3 Transporte de carga'!$H$7:$H$33,"-")</f>
        <v>DEFRA 2024, Freighting goods</v>
      </c>
      <c r="K518" s="764" t="s">
        <v>102</v>
      </c>
      <c r="L518" s="768" t="s">
        <v>102</v>
      </c>
    </row>
    <row r="519" spans="2:12" ht="28.8">
      <c r="B519" s="764" t="s">
        <v>210</v>
      </c>
      <c r="C519" s="764" t="s">
        <v>76</v>
      </c>
      <c r="D519" s="764" t="s">
        <v>291</v>
      </c>
      <c r="E519" s="764" t="s">
        <v>303</v>
      </c>
      <c r="F519" s="764" t="s">
        <v>102</v>
      </c>
      <c r="G519" s="764" t="s">
        <v>293</v>
      </c>
      <c r="H519" s="773" cm="1">
        <f t="array" ref="H519">_xlfn.XLOOKUP(D519&amp;E519&amp;G519,'3.3 Transporte de carga'!$B$7:$B$33&amp;'3.3 Transporte de carga'!$C$7:$C$33&amp;'3.3 Transporte de carga'!$E$7:$E$33,'3.3 Transporte de carga'!$F$7:$F$33,"-")</f>
        <v>0.17852999999999999</v>
      </c>
      <c r="I519" s="764" t="str" cm="1">
        <f t="array" ref="I519">_xlfn.XLOOKUP(D519&amp;E519&amp;G519,'3.3 Transporte de carga'!$B$7:$B$33&amp;'3.3 Transporte de carga'!$C$7:$C$33&amp;'3.3 Transporte de carga'!$E$7:$E$33,'3.3 Transporte de carga'!$G$7:$G$33,"-")</f>
        <v>kgCO2e/tonelada-kilómetro</v>
      </c>
      <c r="J519" s="764" t="str" cm="1">
        <f t="array" ref="J519">_xlfn.XLOOKUP(D519&amp;E519&amp;G519,'3.3 Transporte de carga'!$B$7:$B$33&amp;'3.3 Transporte de carga'!$C$7:$C$33&amp;'3.3 Transporte de carga'!$E$7:$E$33,'3.3 Transporte de carga'!$H$7:$H$33,"-")</f>
        <v>DEFRA 2024, Freighting goods</v>
      </c>
      <c r="K519" s="764" t="s">
        <v>102</v>
      </c>
      <c r="L519" s="768" t="s">
        <v>102</v>
      </c>
    </row>
    <row r="520" spans="2:12" ht="28.8">
      <c r="B520" s="764" t="s">
        <v>210</v>
      </c>
      <c r="C520" s="764" t="s">
        <v>76</v>
      </c>
      <c r="D520" s="764" t="s">
        <v>291</v>
      </c>
      <c r="E520" s="764" t="s">
        <v>304</v>
      </c>
      <c r="F520" s="764" t="s">
        <v>102</v>
      </c>
      <c r="G520" s="764" t="s">
        <v>293</v>
      </c>
      <c r="H520" s="773" cm="1">
        <f t="array" ref="H520">_xlfn.XLOOKUP(D520&amp;E520&amp;G520,'3.3 Transporte de carga'!$B$7:$B$33&amp;'3.3 Transporte de carga'!$C$7:$C$33&amp;'3.3 Transporte de carga'!$E$7:$E$33,'3.3 Transporte de carga'!$F$7:$F$33,"-")</f>
        <v>7.5469999999999995E-2</v>
      </c>
      <c r="I520" s="764" t="str" cm="1">
        <f t="array" ref="I520">_xlfn.XLOOKUP(D520&amp;E520&amp;G520,'3.3 Transporte de carga'!$B$7:$B$33&amp;'3.3 Transporte de carga'!$C$7:$C$33&amp;'3.3 Transporte de carga'!$E$7:$E$33,'3.3 Transporte de carga'!$G$7:$G$33,"-")</f>
        <v>kgCO2e/tonelada-kilómetro</v>
      </c>
      <c r="J520" s="764" t="str" cm="1">
        <f t="array" ref="J520">_xlfn.XLOOKUP(D520&amp;E520&amp;G520,'3.3 Transporte de carga'!$B$7:$B$33&amp;'3.3 Transporte de carga'!$C$7:$C$33&amp;'3.3 Transporte de carga'!$E$7:$E$33,'3.3 Transporte de carga'!$H$7:$H$33,"-")</f>
        <v>DEFRA 2024, Freighting goods</v>
      </c>
      <c r="K520" s="764" t="s">
        <v>102</v>
      </c>
      <c r="L520" s="768" t="s">
        <v>102</v>
      </c>
    </row>
    <row r="521" spans="2:12" ht="28.8">
      <c r="B521" s="764" t="s">
        <v>210</v>
      </c>
      <c r="C521" s="764" t="s">
        <v>76</v>
      </c>
      <c r="D521" s="764" t="s">
        <v>291</v>
      </c>
      <c r="E521" s="764" t="s">
        <v>305</v>
      </c>
      <c r="F521" s="764" t="s">
        <v>102</v>
      </c>
      <c r="G521" s="764" t="s">
        <v>293</v>
      </c>
      <c r="H521" s="773" cm="1">
        <f t="array" ref="H521">_xlfn.XLOOKUP(D521&amp;E521&amp;G521,'3.3 Transporte de carga'!$B$7:$B$33&amp;'3.3 Transporte de carga'!$C$7:$C$33&amp;'3.3 Transporte de carga'!$E$7:$E$33,'3.3 Transporte de carga'!$F$7:$F$33,"-")</f>
        <v>0.11416999999999999</v>
      </c>
      <c r="I521" s="764" t="str" cm="1">
        <f t="array" ref="I521">_xlfn.XLOOKUP(D521&amp;E521&amp;G521,'3.3 Transporte de carga'!$B$7:$B$33&amp;'3.3 Transporte de carga'!$C$7:$C$33&amp;'3.3 Transporte de carga'!$E$7:$E$33,'3.3 Transporte de carga'!$G$7:$G$33,"-")</f>
        <v>kgCO2e/tonelada-kilómetro</v>
      </c>
      <c r="J521" s="764" t="str" cm="1">
        <f t="array" ref="J521">_xlfn.XLOOKUP(D521&amp;E521&amp;G521,'3.3 Transporte de carga'!$B$7:$B$33&amp;'3.3 Transporte de carga'!$C$7:$C$33&amp;'3.3 Transporte de carga'!$E$7:$E$33,'3.3 Transporte de carga'!$H$7:$H$33,"-")</f>
        <v>DEFRA 2024, Freighting goods</v>
      </c>
      <c r="K521" s="764" t="s">
        <v>102</v>
      </c>
      <c r="L521" s="768" t="s">
        <v>102</v>
      </c>
    </row>
    <row r="522" spans="2:12">
      <c r="B522" s="764" t="s">
        <v>210</v>
      </c>
      <c r="C522" s="764" t="s">
        <v>76</v>
      </c>
      <c r="D522" s="764" t="s">
        <v>291</v>
      </c>
      <c r="E522" s="764" t="s">
        <v>306</v>
      </c>
      <c r="F522" s="764" t="s">
        <v>102</v>
      </c>
      <c r="G522" s="764" t="s">
        <v>293</v>
      </c>
      <c r="H522" s="773" cm="1">
        <f t="array" ref="H522">_xlfn.XLOOKUP(D522&amp;E522&amp;G522,'3.3 Transporte de carga'!$B$7:$B$33&amp;'3.3 Transporte de carga'!$C$7:$C$33&amp;'3.3 Transporte de carga'!$E$7:$E$33,'3.3 Transporte de carga'!$F$7:$F$33,"-")</f>
        <v>2.7789999999999999E-2</v>
      </c>
      <c r="I522" s="764" t="str" cm="1">
        <f t="array" ref="I522">_xlfn.XLOOKUP(D522&amp;E522&amp;G522,'3.3 Transporte de carga'!$B$7:$B$33&amp;'3.3 Transporte de carga'!$C$7:$C$33&amp;'3.3 Transporte de carga'!$E$7:$E$33,'3.3 Transporte de carga'!$G$7:$G$33,"-")</f>
        <v>kgCO2e/tonelada-kilómetro</v>
      </c>
      <c r="J522" s="764" t="str" cm="1">
        <f t="array" ref="J522">_xlfn.XLOOKUP(D522&amp;E522&amp;G522,'3.3 Transporte de carga'!$B$7:$B$33&amp;'3.3 Transporte de carga'!$C$7:$C$33&amp;'3.3 Transporte de carga'!$E$7:$E$33,'3.3 Transporte de carga'!$H$7:$H$33,"-")</f>
        <v>DEFRA 2024, Freighting goods</v>
      </c>
      <c r="K522" s="764" t="s">
        <v>102</v>
      </c>
      <c r="L522" s="768" t="s">
        <v>102</v>
      </c>
    </row>
    <row r="523" spans="2:12">
      <c r="B523" s="764" t="s">
        <v>210</v>
      </c>
      <c r="C523" s="764" t="s">
        <v>76</v>
      </c>
      <c r="D523" s="764" t="s">
        <v>307</v>
      </c>
      <c r="E523" s="764" t="s">
        <v>308</v>
      </c>
      <c r="F523" s="764" t="s">
        <v>102</v>
      </c>
      <c r="G523" s="764" t="s">
        <v>293</v>
      </c>
      <c r="H523" s="773" cm="1">
        <f t="array" ref="H523">_xlfn.XLOOKUP(D523&amp;E523&amp;G523,'3.3 Transporte de carga'!$B$7:$B$33&amp;'3.3 Transporte de carga'!$C$7:$C$33&amp;'3.3 Transporte de carga'!$E$7:$E$33,'3.3 Transporte de carga'!$F$7:$F$33,"-")</f>
        <v>1.6119999999999999E-2</v>
      </c>
      <c r="I523" s="764" t="str" cm="1">
        <f t="array" ref="I523">_xlfn.XLOOKUP(D523&amp;E523&amp;G523,'3.3 Transporte de carga'!$B$7:$B$33&amp;'3.3 Transporte de carga'!$C$7:$C$33&amp;'3.3 Transporte de carga'!$E$7:$E$33,'3.3 Transporte de carga'!$G$7:$G$33,"-")</f>
        <v>kgCO2e/tonelada-kilómetro</v>
      </c>
      <c r="J523" s="764" t="str" cm="1">
        <f t="array" ref="J523">_xlfn.XLOOKUP(D523&amp;E523&amp;G523,'3.3 Transporte de carga'!$B$7:$B$33&amp;'3.3 Transporte de carga'!$C$7:$C$33&amp;'3.3 Transporte de carga'!$E$7:$E$33,'3.3 Transporte de carga'!$H$7:$H$33,"-")</f>
        <v>DEFRA 2024, Freighting goods</v>
      </c>
      <c r="K523" s="764" t="s">
        <v>102</v>
      </c>
      <c r="L523" s="768" t="s">
        <v>102</v>
      </c>
    </row>
    <row r="524" spans="2:12">
      <c r="B524" s="764" t="s">
        <v>210</v>
      </c>
      <c r="C524" s="764" t="s">
        <v>76</v>
      </c>
      <c r="D524" s="764" t="s">
        <v>307</v>
      </c>
      <c r="E524" s="764" t="s">
        <v>309</v>
      </c>
      <c r="F524" s="764" t="s">
        <v>102</v>
      </c>
      <c r="G524" s="764" t="s">
        <v>293</v>
      </c>
      <c r="H524" s="773" cm="1">
        <f t="array" ref="H524">_xlfn.XLOOKUP(D524&amp;E524&amp;G524,'3.3 Transporte de carga'!$B$7:$B$33&amp;'3.3 Transporte de carga'!$C$7:$C$33&amp;'3.3 Transporte de carga'!$E$7:$E$33,'3.3 Transporte de carga'!$F$7:$F$33,"-")</f>
        <v>3.5300000000000002E-3</v>
      </c>
      <c r="I524" s="764" t="str" cm="1">
        <f t="array" ref="I524">_xlfn.XLOOKUP(D524&amp;E524&amp;G524,'3.3 Transporte de carga'!$B$7:$B$33&amp;'3.3 Transporte de carga'!$C$7:$C$33&amp;'3.3 Transporte de carga'!$E$7:$E$33,'3.3 Transporte de carga'!$G$7:$G$33,"-")</f>
        <v>kgCO2e/tonelada-kilómetro</v>
      </c>
      <c r="J524" s="764" t="str" cm="1">
        <f t="array" ref="J524">_xlfn.XLOOKUP(D524&amp;E524&amp;G524,'3.3 Transporte de carga'!$B$7:$B$33&amp;'3.3 Transporte de carga'!$C$7:$C$33&amp;'3.3 Transporte de carga'!$E$7:$E$33,'3.3 Transporte de carga'!$H$7:$H$33,"-")</f>
        <v>DEFRA 2024, Freighting goods</v>
      </c>
      <c r="K524" s="764" t="s">
        <v>102</v>
      </c>
      <c r="L524" s="768" t="s">
        <v>102</v>
      </c>
    </row>
    <row r="525" spans="2:12" ht="43.2">
      <c r="B525" s="764" t="s">
        <v>210</v>
      </c>
      <c r="C525" s="764" t="s">
        <v>76</v>
      </c>
      <c r="D525" s="764" t="s">
        <v>310</v>
      </c>
      <c r="E525" s="764" t="s">
        <v>273</v>
      </c>
      <c r="F525" s="764" t="s">
        <v>102</v>
      </c>
      <c r="G525" s="764" t="s">
        <v>293</v>
      </c>
      <c r="H525" s="773" cm="1">
        <f t="array" ref="H525">_xlfn.XLOOKUP(D525&amp;E525&amp;G525,'3.3 Transporte de carga'!$B$7:$B$33&amp;'3.3 Transporte de carga'!$C$7:$C$33&amp;'3.3 Transporte de carga'!$E$7:$E$33,'3.3 Transporte de carga'!$F$7:$F$33,"-")</f>
        <v>2.7601499999999999</v>
      </c>
      <c r="I525" s="764" t="str" cm="1">
        <f t="array" ref="I525">_xlfn.XLOOKUP(D525&amp;E525&amp;G525,'3.3 Transporte de carga'!$B$7:$B$33&amp;'3.3 Transporte de carga'!$C$7:$C$33&amp;'3.3 Transporte de carga'!$E$7:$E$33,'3.3 Transporte de carga'!$G$7:$G$33,"-")</f>
        <v>kgCO2e/tonelada-kilómetro</v>
      </c>
      <c r="J525" s="764" t="str" cm="1">
        <f t="array" ref="J525">_xlfn.XLOOKUP(D525&amp;E525&amp;G525,'3.3 Transporte de carga'!$B$7:$B$33&amp;'3.3 Transporte de carga'!$C$7:$C$33&amp;'3.3 Transporte de carga'!$E$7:$E$33,'3.3 Transporte de carga'!$H$7:$H$33,"-")</f>
        <v>DEFRA 2024, Freighting goods</v>
      </c>
      <c r="K525" s="764" t="s">
        <v>102</v>
      </c>
      <c r="L525" s="768" t="s">
        <v>102</v>
      </c>
    </row>
    <row r="526" spans="2:12" ht="28.8">
      <c r="B526" s="764" t="s">
        <v>210</v>
      </c>
      <c r="C526" s="764" t="s">
        <v>76</v>
      </c>
      <c r="D526" s="764" t="s">
        <v>310</v>
      </c>
      <c r="E526" s="764" t="s">
        <v>274</v>
      </c>
      <c r="F526" s="764" t="s">
        <v>102</v>
      </c>
      <c r="G526" s="764" t="s">
        <v>293</v>
      </c>
      <c r="H526" s="773" cm="1">
        <f t="array" ref="H526">_xlfn.XLOOKUP(D526&amp;E526&amp;G526,'3.3 Transporte de carga'!$B$7:$B$33&amp;'3.3 Transporte de carga'!$C$7:$C$33&amp;'3.3 Transporte de carga'!$E$7:$E$33,'3.3 Transporte de carga'!$F$7:$F$33,"-")</f>
        <v>0.64875000000000005</v>
      </c>
      <c r="I526" s="764" t="str" cm="1">
        <f t="array" ref="I526">_xlfn.XLOOKUP(D526&amp;E526&amp;G526,'3.3 Transporte de carga'!$B$7:$B$33&amp;'3.3 Transporte de carga'!$C$7:$C$33&amp;'3.3 Transporte de carga'!$E$7:$E$33,'3.3 Transporte de carga'!$G$7:$G$33,"-")</f>
        <v>kgCO2e/tonelada-kilómetro</v>
      </c>
      <c r="J526" s="764" t="str" cm="1">
        <f t="array" ref="J526">_xlfn.XLOOKUP(D526&amp;E526&amp;G526,'3.3 Transporte de carga'!$B$7:$B$33&amp;'3.3 Transporte de carga'!$C$7:$C$33&amp;'3.3 Transporte de carga'!$E$7:$E$33,'3.3 Transporte de carga'!$H$7:$H$33,"-")</f>
        <v>DEFRA 2024, Freighting goods</v>
      </c>
      <c r="K526" s="764" t="s">
        <v>102</v>
      </c>
      <c r="L526" s="768" t="s">
        <v>102</v>
      </c>
    </row>
    <row r="527" spans="2:12" ht="28.8">
      <c r="B527" s="764" t="s">
        <v>210</v>
      </c>
      <c r="C527" s="764" t="s">
        <v>76</v>
      </c>
      <c r="D527" s="764" t="s">
        <v>311</v>
      </c>
      <c r="E527" s="764" t="s">
        <v>302</v>
      </c>
      <c r="F527" s="764" t="s">
        <v>102</v>
      </c>
      <c r="G527" s="764" t="s">
        <v>293</v>
      </c>
      <c r="H527" s="773" cm="1">
        <f t="array" ref="H527">_xlfn.XLOOKUP(D527&amp;E527&amp;G527,'3.3 Transporte de carga'!$B$7:$B$33&amp;'3.3 Transporte de carga'!$C$7:$C$33&amp;'3.3 Transporte de carga'!$E$7:$E$33,'3.3 Transporte de carga'!$F$7:$F$33,"-")</f>
        <v>0.61643000000000003</v>
      </c>
      <c r="I527" s="764" t="str" cm="1">
        <f t="array" ref="I527">_xlfn.XLOOKUP(D527&amp;E527&amp;G527,'3.3 Transporte de carga'!$B$7:$B$33&amp;'3.3 Transporte de carga'!$C$7:$C$33&amp;'3.3 Transporte de carga'!$E$7:$E$33,'3.3 Transporte de carga'!$G$7:$G$33,"-")</f>
        <v>kgCO2e/tonelada-kilómetro</v>
      </c>
      <c r="J527" s="764" t="str" cm="1">
        <f t="array" ref="J527">_xlfn.XLOOKUP(D527&amp;E527&amp;G527,'3.3 Transporte de carga'!$B$7:$B$33&amp;'3.3 Transporte de carga'!$C$7:$C$33&amp;'3.3 Transporte de carga'!$E$7:$E$33,'3.3 Transporte de carga'!$H$7:$H$33,"-")</f>
        <v>DEFRA 2024, Freighting goods</v>
      </c>
      <c r="K527" s="764" t="s">
        <v>102</v>
      </c>
      <c r="L527" s="768" t="s">
        <v>102</v>
      </c>
    </row>
    <row r="528" spans="2:12" ht="28.8">
      <c r="B528" s="764" t="s">
        <v>210</v>
      </c>
      <c r="C528" s="764" t="s">
        <v>76</v>
      </c>
      <c r="D528" s="764" t="s">
        <v>311</v>
      </c>
      <c r="E528" s="764" t="s">
        <v>303</v>
      </c>
      <c r="F528" s="764" t="s">
        <v>102</v>
      </c>
      <c r="G528" s="764" t="s">
        <v>293</v>
      </c>
      <c r="H528" s="773" cm="1">
        <f t="array" ref="H528">_xlfn.XLOOKUP(D528&amp;E528&amp;G528,'3.3 Transporte de carga'!$B$7:$B$33&amp;'3.3 Transporte de carga'!$C$7:$C$33&amp;'3.3 Transporte de carga'!$E$7:$E$33,'3.3 Transporte de carga'!$F$7:$F$33,"-")</f>
        <v>0.17852999999999999</v>
      </c>
      <c r="I528" s="764" t="str" cm="1">
        <f t="array" ref="I528">_xlfn.XLOOKUP(D528&amp;E528&amp;G528,'3.3 Transporte de carga'!$B$7:$B$33&amp;'3.3 Transporte de carga'!$C$7:$C$33&amp;'3.3 Transporte de carga'!$E$7:$E$33,'3.3 Transporte de carga'!$G$7:$G$33,"-")</f>
        <v>kgCO2e/tonelada-kilómetro</v>
      </c>
      <c r="J528" s="764" t="str" cm="1">
        <f t="array" ref="J528">_xlfn.XLOOKUP(D528&amp;E528&amp;G528,'3.3 Transporte de carga'!$B$7:$B$33&amp;'3.3 Transporte de carga'!$C$7:$C$33&amp;'3.3 Transporte de carga'!$E$7:$E$33,'3.3 Transporte de carga'!$H$7:$H$33,"-")</f>
        <v>DEFRA 2024, Freighting goods</v>
      </c>
      <c r="K528" s="764" t="s">
        <v>102</v>
      </c>
      <c r="L528" s="768" t="s">
        <v>102</v>
      </c>
    </row>
    <row r="529" spans="2:12" ht="28.8">
      <c r="B529" s="764" t="s">
        <v>210</v>
      </c>
      <c r="C529" s="764" t="s">
        <v>76</v>
      </c>
      <c r="D529" s="764" t="s">
        <v>311</v>
      </c>
      <c r="E529" s="764" t="s">
        <v>304</v>
      </c>
      <c r="F529" s="764" t="s">
        <v>102</v>
      </c>
      <c r="G529" s="764" t="s">
        <v>293</v>
      </c>
      <c r="H529" s="773" cm="1">
        <f t="array" ref="H529">_xlfn.XLOOKUP(D529&amp;E529&amp;G529,'3.3 Transporte de carga'!$B$7:$B$33&amp;'3.3 Transporte de carga'!$C$7:$C$33&amp;'3.3 Transporte de carga'!$E$7:$E$33,'3.3 Transporte de carga'!$F$7:$F$33,"-")</f>
        <v>7.5469999999999995E-2</v>
      </c>
      <c r="I529" s="764" t="str" cm="1">
        <f t="array" ref="I529">_xlfn.XLOOKUP(D529&amp;E529&amp;G529,'3.3 Transporte de carga'!$B$7:$B$33&amp;'3.3 Transporte de carga'!$C$7:$C$33&amp;'3.3 Transporte de carga'!$E$7:$E$33,'3.3 Transporte de carga'!$G$7:$G$33,"-")</f>
        <v>kgCO2e/tonelada-kilómetro</v>
      </c>
      <c r="J529" s="764" t="str" cm="1">
        <f t="array" ref="J529">_xlfn.XLOOKUP(D529&amp;E529&amp;G529,'3.3 Transporte de carga'!$B$7:$B$33&amp;'3.3 Transporte de carga'!$C$7:$C$33&amp;'3.3 Transporte de carga'!$E$7:$E$33,'3.3 Transporte de carga'!$H$7:$H$33,"-")</f>
        <v>DEFRA 2024, Freighting goods</v>
      </c>
      <c r="K529" s="764" t="s">
        <v>102</v>
      </c>
      <c r="L529" s="768" t="s">
        <v>102</v>
      </c>
    </row>
    <row r="530" spans="2:12" ht="28.8">
      <c r="B530" s="764" t="s">
        <v>210</v>
      </c>
      <c r="C530" s="764" t="s">
        <v>76</v>
      </c>
      <c r="D530" s="764" t="s">
        <v>311</v>
      </c>
      <c r="E530" s="764" t="s">
        <v>305</v>
      </c>
      <c r="F530" s="764" t="s">
        <v>102</v>
      </c>
      <c r="G530" s="764" t="s">
        <v>293</v>
      </c>
      <c r="H530" s="773" cm="1">
        <f t="array" ref="H530">_xlfn.XLOOKUP(D530&amp;E530&amp;G530,'3.3 Transporte de carga'!$B$7:$B$33&amp;'3.3 Transporte de carga'!$C$7:$C$33&amp;'3.3 Transporte de carga'!$E$7:$E$33,'3.3 Transporte de carga'!$F$7:$F$33,"-")</f>
        <v>0.11416999999999999</v>
      </c>
      <c r="I530" s="764" t="str" cm="1">
        <f t="array" ref="I530">_xlfn.XLOOKUP(D530&amp;E530&amp;G530,'3.3 Transporte de carga'!$B$7:$B$33&amp;'3.3 Transporte de carga'!$C$7:$C$33&amp;'3.3 Transporte de carga'!$E$7:$E$33,'3.3 Transporte de carga'!$G$7:$G$33,"-")</f>
        <v>kgCO2e/tonelada-kilómetro</v>
      </c>
      <c r="J530" s="764" t="str" cm="1">
        <f t="array" ref="J530">_xlfn.XLOOKUP(D530&amp;E530&amp;G530,'3.3 Transporte de carga'!$B$7:$B$33&amp;'3.3 Transporte de carga'!$C$7:$C$33&amp;'3.3 Transporte de carga'!$E$7:$E$33,'3.3 Transporte de carga'!$H$7:$H$33,"-")</f>
        <v>DEFRA 2024, Freighting goods</v>
      </c>
      <c r="K530" s="764" t="s">
        <v>102</v>
      </c>
      <c r="L530" s="768" t="s">
        <v>102</v>
      </c>
    </row>
    <row r="531" spans="2:12">
      <c r="B531" s="764" t="s">
        <v>210</v>
      </c>
      <c r="C531" s="764" t="s">
        <v>76</v>
      </c>
      <c r="D531" s="764" t="s">
        <v>311</v>
      </c>
      <c r="E531" s="764" t="s">
        <v>306</v>
      </c>
      <c r="F531" s="764" t="s">
        <v>102</v>
      </c>
      <c r="G531" s="764" t="s">
        <v>293</v>
      </c>
      <c r="H531" s="773" cm="1">
        <f t="array" ref="H531">_xlfn.XLOOKUP(D531&amp;E531&amp;G531,'3.3 Transporte de carga'!$B$7:$B$33&amp;'3.3 Transporte de carga'!$C$7:$C$33&amp;'3.3 Transporte de carga'!$E$7:$E$33,'3.3 Transporte de carga'!$F$7:$F$33,"-")</f>
        <v>2.7789999999999999E-2</v>
      </c>
      <c r="I531" s="764" t="str" cm="1">
        <f t="array" ref="I531">_xlfn.XLOOKUP(D531&amp;E531&amp;G531,'3.3 Transporte de carga'!$B$7:$B$33&amp;'3.3 Transporte de carga'!$C$7:$C$33&amp;'3.3 Transporte de carga'!$E$7:$E$33,'3.3 Transporte de carga'!$G$7:$G$33,"-")</f>
        <v>kgCO2e/tonelada-kilómetro</v>
      </c>
      <c r="J531" s="764" t="str" cm="1">
        <f t="array" ref="J531">_xlfn.XLOOKUP(D531&amp;E531&amp;G531,'3.3 Transporte de carga'!$B$7:$B$33&amp;'3.3 Transporte de carga'!$C$7:$C$33&amp;'3.3 Transporte de carga'!$E$7:$E$33,'3.3 Transporte de carga'!$H$7:$H$33,"-")</f>
        <v>DEFRA 2024, Freighting goods</v>
      </c>
      <c r="K531" s="764" t="s">
        <v>102</v>
      </c>
      <c r="L531" s="768" t="s">
        <v>102</v>
      </c>
    </row>
    <row r="532" spans="2:12">
      <c r="B532" s="764" t="s">
        <v>210</v>
      </c>
      <c r="C532" s="764" t="s">
        <v>76</v>
      </c>
      <c r="D532" s="764" t="s">
        <v>312</v>
      </c>
      <c r="E532" s="764" t="s">
        <v>308</v>
      </c>
      <c r="F532" s="764" t="s">
        <v>102</v>
      </c>
      <c r="G532" s="764" t="s">
        <v>293</v>
      </c>
      <c r="H532" s="773" cm="1">
        <f t="array" ref="H532">_xlfn.XLOOKUP(D532&amp;E532&amp;G532,'3.3 Transporte de carga'!$B$7:$B$33&amp;'3.3 Transporte de carga'!$C$7:$C$33&amp;'3.3 Transporte de carga'!$E$7:$E$33,'3.3 Transporte de carga'!$F$7:$F$33,"-")</f>
        <v>1.6119999999999999E-2</v>
      </c>
      <c r="I532" s="764" t="str" cm="1">
        <f t="array" ref="I532">_xlfn.XLOOKUP(D532&amp;E532&amp;G532,'3.3 Transporte de carga'!$B$7:$B$33&amp;'3.3 Transporte de carga'!$C$7:$C$33&amp;'3.3 Transporte de carga'!$E$7:$E$33,'3.3 Transporte de carga'!$G$7:$G$33,"-")</f>
        <v>kgCO2e/tonelada-kilómetro</v>
      </c>
      <c r="J532" s="764" t="str" cm="1">
        <f t="array" ref="J532">_xlfn.XLOOKUP(D532&amp;E532&amp;G532,'3.3 Transporte de carga'!$B$7:$B$33&amp;'3.3 Transporte de carga'!$C$7:$C$33&amp;'3.3 Transporte de carga'!$E$7:$E$33,'3.3 Transporte de carga'!$H$7:$H$33,"-")</f>
        <v>DEFRA 2024, Freighting goods</v>
      </c>
      <c r="K532" s="764" t="s">
        <v>102</v>
      </c>
      <c r="L532" s="768" t="s">
        <v>102</v>
      </c>
    </row>
    <row r="533" spans="2:12">
      <c r="B533" s="764" t="s">
        <v>210</v>
      </c>
      <c r="C533" s="764" t="s">
        <v>76</v>
      </c>
      <c r="D533" s="764" t="s">
        <v>312</v>
      </c>
      <c r="E533" s="764" t="s">
        <v>309</v>
      </c>
      <c r="F533" s="764" t="s">
        <v>102</v>
      </c>
      <c r="G533" s="764" t="s">
        <v>293</v>
      </c>
      <c r="H533" s="773" cm="1">
        <f t="array" ref="H533">_xlfn.XLOOKUP(D533&amp;E533&amp;G533,'3.3 Transporte de carga'!$B$7:$B$33&amp;'3.3 Transporte de carga'!$C$7:$C$33&amp;'3.3 Transporte de carga'!$E$7:$E$33,'3.3 Transporte de carga'!$F$7:$F$33,"-")</f>
        <v>3.5300000000000002E-3</v>
      </c>
      <c r="I533" s="764" t="str" cm="1">
        <f t="array" ref="I533">_xlfn.XLOOKUP(D533&amp;E533&amp;G533,'3.3 Transporte de carga'!$B$7:$B$33&amp;'3.3 Transporte de carga'!$C$7:$C$33&amp;'3.3 Transporte de carga'!$E$7:$E$33,'3.3 Transporte de carga'!$G$7:$G$33,"-")</f>
        <v>kgCO2e/tonelada-kilómetro</v>
      </c>
      <c r="J533" s="764" t="str" cm="1">
        <f t="array" ref="J533">_xlfn.XLOOKUP(D533&amp;E533&amp;G533,'3.3 Transporte de carga'!$B$7:$B$33&amp;'3.3 Transporte de carga'!$C$7:$C$33&amp;'3.3 Transporte de carga'!$E$7:$E$33,'3.3 Transporte de carga'!$H$7:$H$33,"-")</f>
        <v>DEFRA 2024, Freighting goods</v>
      </c>
      <c r="K533" s="764" t="s">
        <v>102</v>
      </c>
      <c r="L533" s="768" t="s">
        <v>102</v>
      </c>
    </row>
    <row r="534" spans="2:12" ht="43.2">
      <c r="B534" s="764" t="s">
        <v>210</v>
      </c>
      <c r="C534" s="764" t="s">
        <v>76</v>
      </c>
      <c r="D534" s="764" t="s">
        <v>313</v>
      </c>
      <c r="E534" s="764" t="s">
        <v>273</v>
      </c>
      <c r="F534" s="764" t="s">
        <v>102</v>
      </c>
      <c r="G534" s="764" t="s">
        <v>293</v>
      </c>
      <c r="H534" s="773" cm="1">
        <f t="array" ref="H534">_xlfn.XLOOKUP(D534&amp;E534&amp;G534,'3.3 Transporte de carga'!$B$7:$B$33&amp;'3.3 Transporte de carga'!$C$7:$C$33&amp;'3.3 Transporte de carga'!$E$7:$E$33,'3.3 Transporte de carga'!$F$7:$F$33,"-")</f>
        <v>2.7601499999999999</v>
      </c>
      <c r="I534" s="764" t="str" cm="1">
        <f t="array" ref="I534">_xlfn.XLOOKUP(D534&amp;E534&amp;G534,'3.3 Transporte de carga'!$B$7:$B$33&amp;'3.3 Transporte de carga'!$C$7:$C$33&amp;'3.3 Transporte de carga'!$E$7:$E$33,'3.3 Transporte de carga'!$G$7:$G$33,"-")</f>
        <v>kgCO2e/tonelada-kilómetro</v>
      </c>
      <c r="J534" s="764" t="str" cm="1">
        <f t="array" ref="J534">_xlfn.XLOOKUP(D534&amp;E534&amp;G534,'3.3 Transporte de carga'!$B$7:$B$33&amp;'3.3 Transporte de carga'!$C$7:$C$33&amp;'3.3 Transporte de carga'!$E$7:$E$33,'3.3 Transporte de carga'!$H$7:$H$33,"-")</f>
        <v>DEFRA 2024, Freighting goods</v>
      </c>
      <c r="K534" s="764" t="s">
        <v>102</v>
      </c>
      <c r="L534" s="768" t="s">
        <v>102</v>
      </c>
    </row>
    <row r="535" spans="2:12" ht="28.8">
      <c r="B535" s="764" t="s">
        <v>210</v>
      </c>
      <c r="C535" s="764" t="s">
        <v>76</v>
      </c>
      <c r="D535" s="764" t="s">
        <v>313</v>
      </c>
      <c r="E535" s="764" t="s">
        <v>274</v>
      </c>
      <c r="F535" s="764" t="s">
        <v>102</v>
      </c>
      <c r="G535" s="764" t="s">
        <v>293</v>
      </c>
      <c r="H535" s="773" cm="1">
        <f t="array" ref="H535">_xlfn.XLOOKUP(D535&amp;E535&amp;G535,'3.3 Transporte de carga'!$B$7:$B$33&amp;'3.3 Transporte de carga'!$C$7:$C$33&amp;'3.3 Transporte de carga'!$E$7:$E$33,'3.3 Transporte de carga'!$F$7:$F$33,"-")</f>
        <v>0.64875000000000005</v>
      </c>
      <c r="I535" s="764" t="str" cm="1">
        <f t="array" ref="I535">_xlfn.XLOOKUP(D535&amp;E535&amp;G535,'3.3 Transporte de carga'!$B$7:$B$33&amp;'3.3 Transporte de carga'!$C$7:$C$33&amp;'3.3 Transporte de carga'!$E$7:$E$33,'3.3 Transporte de carga'!$G$7:$G$33,"-")</f>
        <v>kgCO2e/tonelada-kilómetro</v>
      </c>
      <c r="J535" s="764" t="str" cm="1">
        <f t="array" ref="J535">_xlfn.XLOOKUP(D535&amp;E535&amp;G535,'3.3 Transporte de carga'!$B$7:$B$33&amp;'3.3 Transporte de carga'!$C$7:$C$33&amp;'3.3 Transporte de carga'!$E$7:$E$33,'3.3 Transporte de carga'!$H$7:$H$33,"-")</f>
        <v>DEFRA 2024, Freighting goods</v>
      </c>
      <c r="K535" s="764" t="s">
        <v>102</v>
      </c>
      <c r="L535" s="768" t="s">
        <v>102</v>
      </c>
    </row>
    <row r="536" spans="2:12" ht="28.8">
      <c r="B536" s="764" t="s">
        <v>210</v>
      </c>
      <c r="C536" s="764" t="s">
        <v>80</v>
      </c>
      <c r="D536" s="764" t="s">
        <v>314</v>
      </c>
      <c r="E536" s="764" t="s">
        <v>302</v>
      </c>
      <c r="F536" s="764" t="s">
        <v>102</v>
      </c>
      <c r="G536" s="764" t="s">
        <v>293</v>
      </c>
      <c r="H536" s="773" cm="1">
        <f t="array" ref="H536">_xlfn.XLOOKUP(D536&amp;E536&amp;G536,'3.4 Transporte de residuos'!$B$7:$B$12&amp;'3.4 Transporte de residuos'!$C$7:$C$12&amp;'3.4 Transporte de residuos'!$E$7:$E$12,'3.4 Transporte de residuos'!$F$7:$F$12,"-")</f>
        <v>0.61643000000000003</v>
      </c>
      <c r="I536" s="764" t="str" cm="1">
        <f t="array" ref="I536">_xlfn.XLOOKUP(D536&amp;E536&amp;G536,'3.4 Transporte de residuos'!$B$7:$B$12&amp;'3.4 Transporte de residuos'!$C$7:$C$12&amp;'3.4 Transporte de residuos'!$E$7:$E$12,'3.4 Transporte de residuos'!$G$7:$G$12,"-")</f>
        <v>kgCO2e/tonelada-kilómetro</v>
      </c>
      <c r="J536" s="764" t="str" cm="1">
        <f t="array" ref="J536">_xlfn.XLOOKUP(D536&amp;E536&amp;G536,'3.4 Transporte de residuos'!$B$7:$B$12&amp;'3.4 Transporte de residuos'!$C$7:$C$12&amp;'3.4 Transporte de residuos'!$E$7:$E$12,'3.4 Transporte de residuos'!$H$7:$H$12,"-")</f>
        <v>DEFRA 2024, Freighting goods</v>
      </c>
      <c r="K536" s="764" t="s">
        <v>102</v>
      </c>
      <c r="L536" s="768" t="s">
        <v>102</v>
      </c>
    </row>
    <row r="537" spans="2:12" ht="28.8">
      <c r="B537" s="764" t="s">
        <v>210</v>
      </c>
      <c r="C537" s="764" t="s">
        <v>80</v>
      </c>
      <c r="D537" s="764" t="s">
        <v>314</v>
      </c>
      <c r="E537" s="764" t="s">
        <v>315</v>
      </c>
      <c r="F537" s="764" t="s">
        <v>102</v>
      </c>
      <c r="G537" s="764" t="s">
        <v>293</v>
      </c>
      <c r="H537" s="773" cm="1">
        <f t="array" ref="H537">_xlfn.XLOOKUP(D537&amp;E537&amp;G537,'3.4 Transporte de residuos'!$B$7:$B$12&amp;'3.4 Transporte de residuos'!$C$7:$C$12&amp;'3.4 Transporte de residuos'!$E$7:$E$12,'3.4 Transporte de residuos'!$F$7:$F$12,"-")</f>
        <v>0.17852999999999999</v>
      </c>
      <c r="I537" s="764" t="str" cm="1">
        <f t="array" ref="I537">_xlfn.XLOOKUP(D537&amp;E537&amp;G537,'3.4 Transporte de residuos'!$B$7:$B$12&amp;'3.4 Transporte de residuos'!$C$7:$C$12&amp;'3.4 Transporte de residuos'!$E$7:$E$12,'3.4 Transporte de residuos'!$G$7:$G$12,"-")</f>
        <v>kgCO2e/tonelada-kilómetro</v>
      </c>
      <c r="J537" s="764" t="str" cm="1">
        <f t="array" ref="J537">_xlfn.XLOOKUP(D537&amp;E537&amp;G537,'3.4 Transporte de residuos'!$B$7:$B$12&amp;'3.4 Transporte de residuos'!$C$7:$C$12&amp;'3.4 Transporte de residuos'!$E$7:$E$12,'3.4 Transporte de residuos'!$H$7:$H$12,"-")</f>
        <v>DEFRA 2024, Freighting goods</v>
      </c>
      <c r="K537" s="764" t="s">
        <v>102</v>
      </c>
      <c r="L537" s="768" t="s">
        <v>102</v>
      </c>
    </row>
    <row r="538" spans="2:12" ht="28.8">
      <c r="B538" s="764" t="s">
        <v>210</v>
      </c>
      <c r="C538" s="764" t="s">
        <v>80</v>
      </c>
      <c r="D538" s="764" t="s">
        <v>316</v>
      </c>
      <c r="E538" s="764" t="s">
        <v>302</v>
      </c>
      <c r="F538" s="764" t="s">
        <v>102</v>
      </c>
      <c r="G538" s="764" t="s">
        <v>293</v>
      </c>
      <c r="H538" s="773" cm="1">
        <f t="array" ref="H538">_xlfn.XLOOKUP(D538&amp;E538&amp;G538,'3.4 Transporte de residuos'!$B$7:$B$12&amp;'3.4 Transporte de residuos'!$C$7:$C$12&amp;'3.4 Transporte de residuos'!$E$7:$E$12,'3.4 Transporte de residuos'!$F$7:$F$12,"-")</f>
        <v>0.61643000000000003</v>
      </c>
      <c r="I538" s="764" t="str" cm="1">
        <f t="array" ref="I538">_xlfn.XLOOKUP(D538&amp;E538&amp;G538,'3.4 Transporte de residuos'!$B$7:$B$12&amp;'3.4 Transporte de residuos'!$C$7:$C$12&amp;'3.4 Transporte de residuos'!$E$7:$E$12,'3.4 Transporte de residuos'!$G$7:$G$12,"-")</f>
        <v>kgCO2e/tonelada-kilómetro</v>
      </c>
      <c r="J538" s="764" t="str" cm="1">
        <f t="array" ref="J538">_xlfn.XLOOKUP(D538&amp;E538&amp;G538,'3.4 Transporte de residuos'!$B$7:$B$12&amp;'3.4 Transporte de residuos'!$C$7:$C$12&amp;'3.4 Transporte de residuos'!$E$7:$E$12,'3.4 Transporte de residuos'!$H$7:$H$12,"-")</f>
        <v>DEFRA 2024, Freighting goods</v>
      </c>
      <c r="K538" s="764" t="s">
        <v>102</v>
      </c>
      <c r="L538" s="768" t="s">
        <v>102</v>
      </c>
    </row>
    <row r="539" spans="2:12" ht="28.8">
      <c r="B539" s="764" t="s">
        <v>210</v>
      </c>
      <c r="C539" s="764" t="s">
        <v>80</v>
      </c>
      <c r="D539" s="764" t="s">
        <v>316</v>
      </c>
      <c r="E539" s="764" t="s">
        <v>315</v>
      </c>
      <c r="F539" s="764" t="s">
        <v>102</v>
      </c>
      <c r="G539" s="764" t="s">
        <v>293</v>
      </c>
      <c r="H539" s="773" cm="1">
        <f t="array" ref="H539">_xlfn.XLOOKUP(D539&amp;E539&amp;G539,'3.4 Transporte de residuos'!$B$7:$B$12&amp;'3.4 Transporte de residuos'!$C$7:$C$12&amp;'3.4 Transporte de residuos'!$E$7:$E$12,'3.4 Transporte de residuos'!$F$7:$F$12,"-")</f>
        <v>0.17852999999999999</v>
      </c>
      <c r="I539" s="764" t="str" cm="1">
        <f t="array" ref="I539">_xlfn.XLOOKUP(D539&amp;E539&amp;G539,'3.4 Transporte de residuos'!$B$7:$B$12&amp;'3.4 Transporte de residuos'!$C$7:$C$12&amp;'3.4 Transporte de residuos'!$E$7:$E$12,'3.4 Transporte de residuos'!$G$7:$G$12,"-")</f>
        <v>kgCO2e/tonelada-kilómetro</v>
      </c>
      <c r="J539" s="764" t="str" cm="1">
        <f t="array" ref="J539">_xlfn.XLOOKUP(D539&amp;E539&amp;G539,'3.4 Transporte de residuos'!$B$7:$B$12&amp;'3.4 Transporte de residuos'!$C$7:$C$12&amp;'3.4 Transporte de residuos'!$E$7:$E$12,'3.4 Transporte de residuos'!$H$7:$H$12,"-")</f>
        <v>DEFRA 2024, Freighting goods</v>
      </c>
      <c r="K539" s="764" t="s">
        <v>102</v>
      </c>
      <c r="L539" s="768" t="s">
        <v>102</v>
      </c>
    </row>
    <row r="540" spans="2:12" ht="28.8">
      <c r="B540" s="764" t="s">
        <v>210</v>
      </c>
      <c r="C540" s="764" t="s">
        <v>80</v>
      </c>
      <c r="D540" s="764" t="s">
        <v>317</v>
      </c>
      <c r="E540" s="764" t="s">
        <v>302</v>
      </c>
      <c r="F540" s="764" t="s">
        <v>102</v>
      </c>
      <c r="G540" s="764" t="s">
        <v>293</v>
      </c>
      <c r="H540" s="773" cm="1">
        <f t="array" ref="H540">_xlfn.XLOOKUP(D540&amp;E540&amp;G540,'3.4 Transporte de residuos'!$B$7:$B$12&amp;'3.4 Transporte de residuos'!$C$7:$C$12&amp;'3.4 Transporte de residuos'!$E$7:$E$12,'3.4 Transporte de residuos'!$F$7:$F$12,"-")</f>
        <v>0.61643000000000003</v>
      </c>
      <c r="I540" s="764" t="str" cm="1">
        <f t="array" ref="I540">_xlfn.XLOOKUP(D540&amp;E540&amp;G540,'3.4 Transporte de residuos'!$B$7:$B$12&amp;'3.4 Transporte de residuos'!$C$7:$C$12&amp;'3.4 Transporte de residuos'!$E$7:$E$12,'3.4 Transporte de residuos'!$G$7:$G$12,"-")</f>
        <v>kgCO2e/tonelada-kilómetro</v>
      </c>
      <c r="J540" s="764" t="str" cm="1">
        <f t="array" ref="J540">_xlfn.XLOOKUP(D540&amp;E540&amp;G540,'3.4 Transporte de residuos'!$B$7:$B$12&amp;'3.4 Transporte de residuos'!$C$7:$C$12&amp;'3.4 Transporte de residuos'!$E$7:$E$12,'3.4 Transporte de residuos'!$H$7:$H$12,"-")</f>
        <v>DEFRA 2024, Freighting goods</v>
      </c>
      <c r="K540" s="764" t="s">
        <v>102</v>
      </c>
      <c r="L540" s="768" t="s">
        <v>102</v>
      </c>
    </row>
    <row r="541" spans="2:12" ht="28.8">
      <c r="B541" s="764" t="s">
        <v>210</v>
      </c>
      <c r="C541" s="764" t="s">
        <v>80</v>
      </c>
      <c r="D541" s="764" t="s">
        <v>317</v>
      </c>
      <c r="E541" s="764" t="s">
        <v>315</v>
      </c>
      <c r="F541" s="764" t="s">
        <v>102</v>
      </c>
      <c r="G541" s="764" t="s">
        <v>293</v>
      </c>
      <c r="H541" s="773" cm="1">
        <f t="array" ref="H541">_xlfn.XLOOKUP(D541&amp;E541&amp;G541,'3.4 Transporte de residuos'!$B$7:$B$12&amp;'3.4 Transporte de residuos'!$C$7:$C$12&amp;'3.4 Transporte de residuos'!$E$7:$E$12,'3.4 Transporte de residuos'!$F$7:$F$12,"-")</f>
        <v>0.17852999999999999</v>
      </c>
      <c r="I541" s="764" t="str" cm="1">
        <f t="array" ref="I541">_xlfn.XLOOKUP(D541&amp;E541&amp;G541,'3.4 Transporte de residuos'!$B$7:$B$12&amp;'3.4 Transporte de residuos'!$C$7:$C$12&amp;'3.4 Transporte de residuos'!$E$7:$E$12,'3.4 Transporte de residuos'!$G$7:$G$12,"-")</f>
        <v>kgCO2e/tonelada-kilómetro</v>
      </c>
      <c r="J541" s="764" t="str" cm="1">
        <f t="array" ref="J541">_xlfn.XLOOKUP(D541&amp;E541&amp;G541,'3.4 Transporte de residuos'!$B$7:$B$12&amp;'3.4 Transporte de residuos'!$C$7:$C$12&amp;'3.4 Transporte de residuos'!$E$7:$E$12,'3.4 Transporte de residuos'!$H$7:$H$12,"-")</f>
        <v>DEFRA 2024, Freighting goods</v>
      </c>
      <c r="K541" s="764" t="s">
        <v>102</v>
      </c>
      <c r="L541" s="768" t="s">
        <v>102</v>
      </c>
    </row>
    <row r="542" spans="2:12" ht="28.8">
      <c r="B542" s="764" t="s">
        <v>210</v>
      </c>
      <c r="C542" s="764" t="s">
        <v>82</v>
      </c>
      <c r="D542" s="764" t="s">
        <v>318</v>
      </c>
      <c r="E542" s="764" t="s">
        <v>101</v>
      </c>
      <c r="F542" s="764" t="s">
        <v>102</v>
      </c>
      <c r="G542" s="764" t="s">
        <v>103</v>
      </c>
      <c r="H542" s="765" cm="1">
        <f t="array" ref="H542">_xlfn.XLOOKUP(E542&amp;G542,'3.5 Uso de productos'!$B$16:$B$48&amp;'3.5 Uso de productos'!$F$16:$F$48,'3.5 Uso de productos'!$AB$16:$AB$48,"-")</f>
        <v>2361.0160796670002</v>
      </c>
      <c r="I542" s="764" t="str" cm="1">
        <f t="array" ref="I542">_xlfn.XLOOKUP(E542&amp;G542,'3.5 Uso de productos'!$B$16:$B$48&amp;'3.5 Uso de productos'!$F$16:$F$48,'3.5 Uso de productos'!$AC$16:$AC$48,"-")</f>
        <v>kgCO2e/metros cúbicos</v>
      </c>
      <c r="J542" s="764" t="str" cm="1">
        <f t="array" ref="J542">_xlfn.XLOOKUP(E542&amp;G542,'3.5 Uso de productos'!$B$16:$B$48&amp;'3.5 Uso de productos'!$F$16:$F$48,'3.5 Uso de productos'!$AD$16:$AD$48,"-")</f>
        <v>IPCC 2006 (vol2; chapter 2) , Table 2.4</v>
      </c>
      <c r="K542" s="764" t="str" cm="1">
        <f t="array" ref="K542">_xlfn.XLOOKUP(E542&amp;G542,'3.5 Uso de productos'!$B$16:$B$48&amp;'3.5 Uso de productos'!$F$16:$F$48,'3.5 Uso de productos'!$AE$16:$AE$48,"-")</f>
        <v>CNE BNE 2020</v>
      </c>
      <c r="L542" s="768" t="str" cm="1">
        <f t="array" ref="L542">_xlfn.XLOOKUP(E542&amp;G542,'3.5 Uso de productos'!$B$16:$B$48&amp;'3.5 Uso de productos'!$F$16:$F$48,'3.5 Uso de productos'!$AF$16:$AF$48,"-")</f>
        <v>-</v>
      </c>
    </row>
    <row r="543" spans="2:12" ht="28.8">
      <c r="B543" s="764" t="s">
        <v>210</v>
      </c>
      <c r="C543" s="764" t="s">
        <v>82</v>
      </c>
      <c r="D543" s="764" t="s">
        <v>318</v>
      </c>
      <c r="E543" s="764" t="s">
        <v>101</v>
      </c>
      <c r="F543" s="764" t="s">
        <v>102</v>
      </c>
      <c r="G543" s="764" t="s">
        <v>104</v>
      </c>
      <c r="H543" s="765" cm="1">
        <f t="array" ref="H543">_xlfn.XLOOKUP(E543&amp;G543,'3.5 Uso de productos'!$B$16:$B$48&amp;'3.5 Uso de productos'!$F$16:$F$48,'3.5 Uso de productos'!$AB$16:$AB$48,"-")</f>
        <v>2.3610160796670003</v>
      </c>
      <c r="I543" s="764" t="str" cm="1">
        <f t="array" ref="I543">_xlfn.XLOOKUP(E543&amp;G543,'3.5 Uso de productos'!$B$16:$B$48&amp;'3.5 Uso de productos'!$F$16:$F$48,'3.5 Uso de productos'!$AC$16:$AC$48,"-")</f>
        <v>kgCO2e/litros</v>
      </c>
      <c r="J543" s="764" t="str" cm="1">
        <f t="array" ref="J543">_xlfn.XLOOKUP(E543&amp;G543,'3.5 Uso de productos'!$B$16:$B$48&amp;'3.5 Uso de productos'!$F$16:$F$48,'3.5 Uso de productos'!$AD$16:$AD$48,"-")</f>
        <v>IPCC 2006 (vol2; chapter 2) , Table 2.4</v>
      </c>
      <c r="K543" s="764" t="str" cm="1">
        <f t="array" ref="K543">_xlfn.XLOOKUP(E543&amp;G543,'3.5 Uso de productos'!$B$16:$B$48&amp;'3.5 Uso de productos'!$F$16:$F$48,'3.5 Uso de productos'!$AE$16:$AE$48,"-")</f>
        <v>CNE BNE 2020</v>
      </c>
      <c r="L543" s="768" t="str" cm="1">
        <f t="array" ref="L543">_xlfn.XLOOKUP(E543&amp;G543,'3.5 Uso de productos'!$B$16:$B$48&amp;'3.5 Uso de productos'!$F$16:$F$48,'3.5 Uso de productos'!$AF$16:$AF$48,"-")</f>
        <v>-</v>
      </c>
    </row>
    <row r="544" spans="2:12" ht="28.8">
      <c r="B544" s="764" t="s">
        <v>210</v>
      </c>
      <c r="C544" s="764" t="s">
        <v>82</v>
      </c>
      <c r="D544" s="764" t="s">
        <v>318</v>
      </c>
      <c r="E544" s="764" t="s">
        <v>105</v>
      </c>
      <c r="F544" s="764" t="s">
        <v>102</v>
      </c>
      <c r="G544" s="764" t="s">
        <v>106</v>
      </c>
      <c r="H544" s="765" cm="1">
        <f t="array" ref="H544">_xlfn.XLOOKUP(E544&amp;G544,'3.5 Uso de productos'!$B$16:$B$48&amp;'3.5 Uso de productos'!$F$16:$F$48,'3.5 Uso de productos'!$AB$16:$AB$48,"-")</f>
        <v>2652.7371160499997</v>
      </c>
      <c r="I544" s="764" t="str" cm="1">
        <f t="array" ref="I544">_xlfn.XLOOKUP(E544&amp;G544,'3.5 Uso de productos'!$B$16:$B$48&amp;'3.5 Uso de productos'!$F$16:$F$48,'3.5 Uso de productos'!$AC$16:$AC$48,"-")</f>
        <v>kgCO2e/toneladas</v>
      </c>
      <c r="J544" s="764" t="str" cm="1">
        <f t="array" ref="J544">_xlfn.XLOOKUP(E544&amp;G544,'3.5 Uso de productos'!$B$16:$B$48&amp;'3.5 Uso de productos'!$F$16:$F$48,'3.5 Uso de productos'!$AD$16:$AD$48,"-")</f>
        <v>IPCC 2006 (vol2; chapter 2) , Table 2.4</v>
      </c>
      <c r="K544" s="764" t="str" cm="1">
        <f t="array" ref="K544">_xlfn.XLOOKUP(E544&amp;G544,'3.5 Uso de productos'!$B$16:$B$48&amp;'3.5 Uso de productos'!$F$16:$F$48,'3.5 Uso de productos'!$AE$16:$AE$48,"-")</f>
        <v>CNE BNE 2020</v>
      </c>
      <c r="L544" s="768" t="str" cm="1">
        <f t="array" ref="L544">_xlfn.XLOOKUP(E544&amp;G544,'3.5 Uso de productos'!$B$16:$B$48&amp;'3.5 Uso de productos'!$F$16:$F$48,'3.5 Uso de productos'!$AF$16:$AF$48,"-")</f>
        <v>-</v>
      </c>
    </row>
    <row r="545" spans="2:12" ht="28.8">
      <c r="B545" s="764" t="s">
        <v>210</v>
      </c>
      <c r="C545" s="764" t="s">
        <v>82</v>
      </c>
      <c r="D545" s="764" t="s">
        <v>318</v>
      </c>
      <c r="E545" s="764" t="s">
        <v>105</v>
      </c>
      <c r="F545" s="764" t="s">
        <v>102</v>
      </c>
      <c r="G545" s="764" t="s">
        <v>107</v>
      </c>
      <c r="H545" s="765" cm="1">
        <f t="array" ref="H545">_xlfn.XLOOKUP(E545&amp;G545,'3.5 Uso de productos'!$B$16:$B$48&amp;'3.5 Uso de productos'!$F$16:$F$48,'3.5 Uso de productos'!$AB$16:$AB$48,"-")</f>
        <v>2.6527371160499995</v>
      </c>
      <c r="I545" s="764" t="str" cm="1">
        <f t="array" ref="I545">_xlfn.XLOOKUP(E545&amp;G545,'3.5 Uso de productos'!$B$16:$B$48&amp;'3.5 Uso de productos'!$F$16:$F$48,'3.5 Uso de productos'!$AC$16:$AC$48,"-")</f>
        <v>kgCO2e/kilogramos</v>
      </c>
      <c r="J545" s="764" t="str" cm="1">
        <f t="array" ref="J545">_xlfn.XLOOKUP(E545&amp;G545,'3.5 Uso de productos'!$B$16:$B$48&amp;'3.5 Uso de productos'!$F$16:$F$48,'3.5 Uso de productos'!$AD$16:$AD$48,"-")</f>
        <v>IPCC 2006 (vol2; chapter 2) , Table 2.4</v>
      </c>
      <c r="K545" s="764" t="str" cm="1">
        <f t="array" ref="K545">_xlfn.XLOOKUP(E545&amp;G545,'3.5 Uso de productos'!$B$16:$B$48&amp;'3.5 Uso de productos'!$F$16:$F$48,'3.5 Uso de productos'!$AE$16:$AE$48,"-")</f>
        <v>CNE BNE 2020</v>
      </c>
      <c r="L545" s="768" t="str" cm="1">
        <f t="array" ref="L545">_xlfn.XLOOKUP(E545&amp;G545,'3.5 Uso de productos'!$B$16:$B$48&amp;'3.5 Uso de productos'!$F$16:$F$48,'3.5 Uso de productos'!$AF$16:$AF$48,"-")</f>
        <v>-</v>
      </c>
    </row>
    <row r="546" spans="2:12" ht="28.8">
      <c r="B546" s="764" t="s">
        <v>210</v>
      </c>
      <c r="C546" s="764" t="s">
        <v>82</v>
      </c>
      <c r="D546" s="764" t="s">
        <v>318</v>
      </c>
      <c r="E546" s="764" t="s">
        <v>105</v>
      </c>
      <c r="F546" s="764" t="s">
        <v>102</v>
      </c>
      <c r="G546" s="764" t="s">
        <v>108</v>
      </c>
      <c r="H546" s="769" cm="1">
        <f t="array" ref="H546">_xlfn.XLOOKUP(E546&amp;G546,'3.5 Uso de productos'!$B$16:$B$48&amp;'3.5 Uso de productos'!$F$16:$F$48,'3.5 Uso de productos'!$AB$16:$AB$48,"-")</f>
        <v>2.6527371160499995E-3</v>
      </c>
      <c r="I546" s="764" t="str" cm="1">
        <f t="array" ref="I546">_xlfn.XLOOKUP(E546&amp;G546,'3.5 Uso de productos'!$B$16:$B$48&amp;'3.5 Uso de productos'!$F$16:$F$48,'3.5 Uso de productos'!$AC$16:$AC$48,"-")</f>
        <v>kgCO2e/gramos</v>
      </c>
      <c r="J546" s="764" t="str" cm="1">
        <f t="array" ref="J546">_xlfn.XLOOKUP(E546&amp;G546,'3.5 Uso de productos'!$B$16:$B$48&amp;'3.5 Uso de productos'!$F$16:$F$48,'3.5 Uso de productos'!$AD$16:$AD$48,"-")</f>
        <v>IPCC 2006 (vol2; chapter 2) , Table 2.4</v>
      </c>
      <c r="K546" s="764" t="str" cm="1">
        <f t="array" ref="K546">_xlfn.XLOOKUP(E546&amp;G546,'3.5 Uso de productos'!$B$16:$B$48&amp;'3.5 Uso de productos'!$F$16:$F$48,'3.5 Uso de productos'!$AE$16:$AE$48,"-")</f>
        <v>CNE BNE 2020</v>
      </c>
      <c r="L546" s="768" t="str" cm="1">
        <f t="array" ref="L546">_xlfn.XLOOKUP(E546&amp;G546,'3.5 Uso de productos'!$B$16:$B$48&amp;'3.5 Uso de productos'!$F$16:$F$48,'3.5 Uso de productos'!$AF$16:$AF$48,"-")</f>
        <v>-</v>
      </c>
    </row>
    <row r="547" spans="2:12" ht="28.8">
      <c r="B547" s="764" t="s">
        <v>210</v>
      </c>
      <c r="C547" s="764" t="s">
        <v>82</v>
      </c>
      <c r="D547" s="764" t="s">
        <v>318</v>
      </c>
      <c r="E547" s="764" t="s">
        <v>109</v>
      </c>
      <c r="F547" s="764" t="s">
        <v>102</v>
      </c>
      <c r="G547" s="764" t="s">
        <v>106</v>
      </c>
      <c r="H547" s="765" cm="1">
        <f t="array" ref="H547">_xlfn.XLOOKUP(E547&amp;G547,'3.5 Uso de productos'!$B$16:$B$48&amp;'3.5 Uso de productos'!$F$16:$F$48,'3.5 Uso de productos'!$AB$16:$AB$48,"-")</f>
        <v>2652.7371160499997</v>
      </c>
      <c r="I547" s="764" t="str" cm="1">
        <f t="array" ref="I547">_xlfn.XLOOKUP(E547&amp;G547,'3.5 Uso de productos'!$B$16:$B$48&amp;'3.5 Uso de productos'!$F$16:$F$48,'3.5 Uso de productos'!$AC$16:$AC$48,"-")</f>
        <v>kgCO2e/toneladas</v>
      </c>
      <c r="J547" s="764" t="str" cm="1">
        <f t="array" ref="J547">_xlfn.XLOOKUP(E547&amp;G547,'3.5 Uso de productos'!$B$16:$B$48&amp;'3.5 Uso de productos'!$F$16:$F$48,'3.5 Uso de productos'!$AD$16:$AD$48,"-")</f>
        <v>IPCC 2006 (vol2; chapter 2) , Table 2.4</v>
      </c>
      <c r="K547" s="764" t="str" cm="1">
        <f t="array" ref="K547">_xlfn.XLOOKUP(E547&amp;G547,'3.5 Uso de productos'!$B$16:$B$48&amp;'3.5 Uso de productos'!$F$16:$F$48,'3.5 Uso de productos'!$AE$16:$AE$48,"-")</f>
        <v>CNE BNE 2020</v>
      </c>
      <c r="L547" s="768" t="str" cm="1">
        <f t="array" ref="L547">_xlfn.XLOOKUP(E547&amp;G547,'3.5 Uso de productos'!$B$16:$B$48&amp;'3.5 Uso de productos'!$F$16:$F$48,'3.5 Uso de productos'!$AF$16:$AF$48,"-")</f>
        <v>-</v>
      </c>
    </row>
    <row r="548" spans="2:12" ht="28.8">
      <c r="B548" s="764" t="s">
        <v>210</v>
      </c>
      <c r="C548" s="764" t="s">
        <v>82</v>
      </c>
      <c r="D548" s="764" t="s">
        <v>318</v>
      </c>
      <c r="E548" s="764" t="s">
        <v>109</v>
      </c>
      <c r="F548" s="764" t="s">
        <v>102</v>
      </c>
      <c r="G548" s="764" t="s">
        <v>107</v>
      </c>
      <c r="H548" s="765" cm="1">
        <f t="array" ref="H548">_xlfn.XLOOKUP(E548&amp;G548,'3.5 Uso de productos'!$B$16:$B$48&amp;'3.5 Uso de productos'!$F$16:$F$48,'3.5 Uso de productos'!$AB$16:$AB$48,"-")</f>
        <v>2.6527371160499995</v>
      </c>
      <c r="I548" s="764" t="str" cm="1">
        <f t="array" ref="I548">_xlfn.XLOOKUP(E548&amp;G548,'3.5 Uso de productos'!$B$16:$B$48&amp;'3.5 Uso de productos'!$F$16:$F$48,'3.5 Uso de productos'!$AC$16:$AC$48,"-")</f>
        <v>kgCO2e/kilogramos</v>
      </c>
      <c r="J548" s="764" t="str" cm="1">
        <f t="array" ref="J548">_xlfn.XLOOKUP(E548&amp;G548,'3.5 Uso de productos'!$B$16:$B$48&amp;'3.5 Uso de productos'!$F$16:$F$48,'3.5 Uso de productos'!$AD$16:$AD$48,"-")</f>
        <v>IPCC 2006 (vol2; chapter 2) , Table 2.4</v>
      </c>
      <c r="K548" s="764" t="str" cm="1">
        <f t="array" ref="K548">_xlfn.XLOOKUP(E548&amp;G548,'3.5 Uso de productos'!$B$16:$B$48&amp;'3.5 Uso de productos'!$F$16:$F$48,'3.5 Uso de productos'!$AE$16:$AE$48,"-")</f>
        <v>CNE BNE 2020</v>
      </c>
      <c r="L548" s="768" t="str" cm="1">
        <f t="array" ref="L548">_xlfn.XLOOKUP(E548&amp;G548,'3.5 Uso de productos'!$B$16:$B$48&amp;'3.5 Uso de productos'!$F$16:$F$48,'3.5 Uso de productos'!$AF$16:$AF$48,"-")</f>
        <v>-</v>
      </c>
    </row>
    <row r="549" spans="2:12" ht="28.8">
      <c r="B549" s="764" t="s">
        <v>210</v>
      </c>
      <c r="C549" s="764" t="s">
        <v>82</v>
      </c>
      <c r="D549" s="764" t="s">
        <v>318</v>
      </c>
      <c r="E549" s="764" t="s">
        <v>109</v>
      </c>
      <c r="F549" s="764" t="s">
        <v>102</v>
      </c>
      <c r="G549" s="764" t="s">
        <v>108</v>
      </c>
      <c r="H549" s="769" cm="1">
        <f t="array" ref="H549">_xlfn.XLOOKUP(E549&amp;G549,'3.5 Uso de productos'!$B$16:$B$48&amp;'3.5 Uso de productos'!$F$16:$F$48,'3.5 Uso de productos'!$AB$16:$AB$48,"-")</f>
        <v>2.6527371160499995E-3</v>
      </c>
      <c r="I549" s="764" t="str" cm="1">
        <f t="array" ref="I549">_xlfn.XLOOKUP(E549&amp;G549,'3.5 Uso de productos'!$B$16:$B$48&amp;'3.5 Uso de productos'!$F$16:$F$48,'3.5 Uso de productos'!$AC$16:$AC$48,"-")</f>
        <v>kgCO2e/gramos</v>
      </c>
      <c r="J549" s="764" t="str" cm="1">
        <f t="array" ref="J549">_xlfn.XLOOKUP(E549&amp;G549,'3.5 Uso de productos'!$B$16:$B$48&amp;'3.5 Uso de productos'!$F$16:$F$48,'3.5 Uso de productos'!$AD$16:$AD$48,"-")</f>
        <v>IPCC 2006 (vol2; chapter 2) , Table 2.4</v>
      </c>
      <c r="K549" s="764" t="str" cm="1">
        <f t="array" ref="K549">_xlfn.XLOOKUP(E549&amp;G549,'3.5 Uso de productos'!$B$16:$B$48&amp;'3.5 Uso de productos'!$F$16:$F$48,'3.5 Uso de productos'!$AE$16:$AE$48,"-")</f>
        <v>CNE BNE 2020</v>
      </c>
      <c r="L549" s="768" t="str" cm="1">
        <f t="array" ref="L549">_xlfn.XLOOKUP(E549&amp;G549,'3.5 Uso de productos'!$B$16:$B$48&amp;'3.5 Uso de productos'!$F$16:$F$48,'3.5 Uso de productos'!$AF$16:$AF$48,"-")</f>
        <v>-</v>
      </c>
    </row>
    <row r="550" spans="2:12" ht="28.8">
      <c r="B550" s="764" t="s">
        <v>210</v>
      </c>
      <c r="C550" s="764" t="s">
        <v>82</v>
      </c>
      <c r="D550" s="764" t="s">
        <v>318</v>
      </c>
      <c r="E550" s="764" t="s">
        <v>110</v>
      </c>
      <c r="F550" s="764" t="s">
        <v>102</v>
      </c>
      <c r="G550" s="764" t="s">
        <v>103</v>
      </c>
      <c r="H550" s="765" cm="1">
        <f t="array" ref="H550">_xlfn.XLOOKUP(E550&amp;G550,'3.5 Uso de productos'!$B$16:$B$48&amp;'3.5 Uso de productos'!$F$16:$F$48,'3.5 Uso de productos'!$AB$16:$AB$48,"-")</f>
        <v>2267.8922621174397</v>
      </c>
      <c r="I550" s="764" t="str" cm="1">
        <f t="array" ref="I550">_xlfn.XLOOKUP(E550&amp;G550,'3.5 Uso de productos'!$B$16:$B$48&amp;'3.5 Uso de productos'!$F$16:$F$48,'3.5 Uso de productos'!$AC$16:$AC$48,"-")</f>
        <v>kgCO2e/metros cúbicos</v>
      </c>
      <c r="J550" s="764" t="str" cm="1">
        <f t="array" ref="J550">_xlfn.XLOOKUP(E550&amp;G550,'3.5 Uso de productos'!$B$16:$B$48&amp;'3.5 Uso de productos'!$F$16:$F$48,'3.5 Uso de productos'!$AD$16:$AD$48,"-")</f>
        <v>IPCC 2006 (vol2; chapter 2) , Table 2.4</v>
      </c>
      <c r="K550" s="764" t="str" cm="1">
        <f t="array" ref="K550">_xlfn.XLOOKUP(E550&amp;G550,'3.5 Uso de productos'!$B$16:$B$48&amp;'3.5 Uso de productos'!$F$16:$F$48,'3.5 Uso de productos'!$AE$16:$AE$48,"-")</f>
        <v>CNE BNE 2020</v>
      </c>
      <c r="L550" s="768" t="str" cm="1">
        <f t="array" ref="L550">_xlfn.XLOOKUP(E550&amp;G550,'3.5 Uso de productos'!$B$16:$B$48&amp;'3.5 Uso de productos'!$F$16:$F$48,'3.5 Uso de productos'!$AF$16:$AF$48,"-")</f>
        <v>-</v>
      </c>
    </row>
    <row r="551" spans="2:12" ht="28.8">
      <c r="B551" s="764" t="s">
        <v>210</v>
      </c>
      <c r="C551" s="764" t="s">
        <v>82</v>
      </c>
      <c r="D551" s="764" t="s">
        <v>318</v>
      </c>
      <c r="E551" s="764" t="s">
        <v>110</v>
      </c>
      <c r="F551" s="764" t="s">
        <v>102</v>
      </c>
      <c r="G551" s="764" t="s">
        <v>104</v>
      </c>
      <c r="H551" s="765" cm="1">
        <f t="array" ref="H551">_xlfn.XLOOKUP(E551&amp;G551,'3.5 Uso de productos'!$B$16:$B$48&amp;'3.5 Uso de productos'!$F$16:$F$48,'3.5 Uso de productos'!$AB$16:$AB$48,"-")</f>
        <v>2.2678922621174396</v>
      </c>
      <c r="I551" s="764" t="str" cm="1">
        <f t="array" ref="I551">_xlfn.XLOOKUP(E551&amp;G551,'3.5 Uso de productos'!$B$16:$B$48&amp;'3.5 Uso de productos'!$F$16:$F$48,'3.5 Uso de productos'!$AC$16:$AC$48,"-")</f>
        <v>kgCO2e/litros</v>
      </c>
      <c r="J551" s="764" t="str" cm="1">
        <f t="array" ref="J551">_xlfn.XLOOKUP(E551&amp;G551,'3.5 Uso de productos'!$B$16:$B$48&amp;'3.5 Uso de productos'!$F$16:$F$48,'3.5 Uso de productos'!$AD$16:$AD$48,"-")</f>
        <v>IPCC 2006 (vol2; chapter 2) , Table 2.4</v>
      </c>
      <c r="K551" s="764" t="str" cm="1">
        <f t="array" ref="K551">_xlfn.XLOOKUP(E551&amp;G551,'3.5 Uso de productos'!$B$16:$B$48&amp;'3.5 Uso de productos'!$F$16:$F$48,'3.5 Uso de productos'!$AE$16:$AE$48,"-")</f>
        <v>CNE BNE 2020</v>
      </c>
      <c r="L551" s="768" t="str" cm="1">
        <f t="array" ref="L551">_xlfn.XLOOKUP(E551&amp;G551,'3.5 Uso de productos'!$B$16:$B$48&amp;'3.5 Uso de productos'!$F$16:$F$48,'3.5 Uso de productos'!$AF$16:$AF$48,"-")</f>
        <v>-</v>
      </c>
    </row>
    <row r="552" spans="2:12" ht="28.8">
      <c r="B552" s="764" t="s">
        <v>210</v>
      </c>
      <c r="C552" s="764" t="s">
        <v>82</v>
      </c>
      <c r="D552" s="764" t="s">
        <v>318</v>
      </c>
      <c r="E552" s="764" t="s">
        <v>111</v>
      </c>
      <c r="F552" s="764" t="s">
        <v>102</v>
      </c>
      <c r="G552" s="764" t="s">
        <v>106</v>
      </c>
      <c r="H552" s="765" cm="1">
        <f t="array" ref="H552">_xlfn.XLOOKUP(E552&amp;G552,'3.5 Uso de productos'!$B$16:$B$48&amp;'3.5 Uso de productos'!$F$16:$F$48,'3.5 Uso de productos'!$AB$16:$AB$48,"-")</f>
        <v>578.35012949999998</v>
      </c>
      <c r="I552" s="764" t="str" cm="1">
        <f t="array" ref="I552">_xlfn.XLOOKUP(E552&amp;G552,'3.5 Uso de productos'!$B$16:$B$48&amp;'3.5 Uso de productos'!$F$16:$F$48,'3.5 Uso de productos'!$AC$16:$AC$48,"-")</f>
        <v>kgCO2e/toneladas</v>
      </c>
      <c r="J552" s="764" t="str" cm="1">
        <f t="array" ref="J552">_xlfn.XLOOKUP(E552&amp;G552,'3.5 Uso de productos'!$B$16:$B$48&amp;'3.5 Uso de productos'!$F$16:$F$48,'3.5 Uso de productos'!$AD$16:$AD$48,"-")</f>
        <v>IPCC 2006 (vol2; chapter 2) , Table 2.4</v>
      </c>
      <c r="K552" s="764" t="str" cm="1">
        <f t="array" ref="K552">_xlfn.XLOOKUP(E552&amp;G552,'3.5 Uso de productos'!$B$16:$B$48&amp;'3.5 Uso de productos'!$F$16:$F$48,'3.5 Uso de productos'!$AE$16:$AE$48,"-")</f>
        <v>CNE BNE 2020</v>
      </c>
      <c r="L552" s="768" t="str" cm="1">
        <f t="array" ref="L552">_xlfn.XLOOKUP(E552&amp;G552,'3.5 Uso de productos'!$B$16:$B$48&amp;'3.5 Uso de productos'!$F$16:$F$48,'3.5 Uso de productos'!$AF$16:$AF$48,"-")</f>
        <v>IPCC 2006 (vol2; chapter 1) , Table 1.2</v>
      </c>
    </row>
    <row r="553" spans="2:12" ht="28.8">
      <c r="B553" s="764" t="s">
        <v>210</v>
      </c>
      <c r="C553" s="764" t="s">
        <v>82</v>
      </c>
      <c r="D553" s="764" t="s">
        <v>318</v>
      </c>
      <c r="E553" s="764" t="s">
        <v>111</v>
      </c>
      <c r="F553" s="764" t="s">
        <v>102</v>
      </c>
      <c r="G553" s="764" t="s">
        <v>107</v>
      </c>
      <c r="H553" s="771" cm="1">
        <f t="array" ref="H553">_xlfn.XLOOKUP(E553&amp;G553,'3.5 Uso de productos'!$B$16:$B$48&amp;'3.5 Uso de productos'!$F$16:$F$48,'3.5 Uso de productos'!$AB$16:$AB$48,"-")</f>
        <v>0.57835012949999998</v>
      </c>
      <c r="I553" s="764" t="str" cm="1">
        <f t="array" ref="I553">_xlfn.XLOOKUP(E553&amp;G553,'3.5 Uso de productos'!$B$16:$B$48&amp;'3.5 Uso de productos'!$F$16:$F$48,'3.5 Uso de productos'!$AC$16:$AC$48,"-")</f>
        <v>kgCO2e/kilogramos</v>
      </c>
      <c r="J553" s="764" t="str" cm="1">
        <f t="array" ref="J553">_xlfn.XLOOKUP(E553&amp;G553,'3.5 Uso de productos'!$B$16:$B$48&amp;'3.5 Uso de productos'!$F$16:$F$48,'3.5 Uso de productos'!$AD$16:$AD$48,"-")</f>
        <v>IPCC 2006 (vol2; chapter 2) , Table 2.4</v>
      </c>
      <c r="K553" s="764" t="str" cm="1">
        <f t="array" ref="K553">_xlfn.XLOOKUP(E553&amp;G553,'3.5 Uso de productos'!$B$16:$B$48&amp;'3.5 Uso de productos'!$F$16:$F$48,'3.5 Uso de productos'!$AE$16:$AE$48,"-")</f>
        <v>CNE BNE 2020</v>
      </c>
      <c r="L553" s="768" t="str" cm="1">
        <f t="array" ref="L553">_xlfn.XLOOKUP(E553&amp;G553,'3.5 Uso de productos'!$B$16:$B$48&amp;'3.5 Uso de productos'!$F$16:$F$48,'3.5 Uso de productos'!$AF$16:$AF$48,"-")</f>
        <v>IPCC 2006 (vol2; chapter 1) , Table 1.2</v>
      </c>
    </row>
    <row r="554" spans="2:12" ht="28.8">
      <c r="B554" s="764" t="s">
        <v>210</v>
      </c>
      <c r="C554" s="764" t="s">
        <v>82</v>
      </c>
      <c r="D554" s="764" t="s">
        <v>318</v>
      </c>
      <c r="E554" s="764" t="s">
        <v>111</v>
      </c>
      <c r="F554" s="764" t="s">
        <v>102</v>
      </c>
      <c r="G554" s="764" t="s">
        <v>108</v>
      </c>
      <c r="H554" s="769" cm="1">
        <f t="array" ref="H554">_xlfn.XLOOKUP(E554&amp;G554,'3.5 Uso de productos'!$B$16:$B$48&amp;'3.5 Uso de productos'!$F$16:$F$48,'3.5 Uso de productos'!$AB$16:$AB$48,"-")</f>
        <v>5.7835012949999996E-4</v>
      </c>
      <c r="I554" s="764" t="str" cm="1">
        <f t="array" ref="I554">_xlfn.XLOOKUP(E554&amp;G554,'3.5 Uso de productos'!$B$16:$B$48&amp;'3.5 Uso de productos'!$F$16:$F$48,'3.5 Uso de productos'!$AC$16:$AC$48,"-")</f>
        <v>kgCO2e/gramos</v>
      </c>
      <c r="J554" s="764" t="str" cm="1">
        <f t="array" ref="J554">_xlfn.XLOOKUP(E554&amp;G554,'3.5 Uso de productos'!$B$16:$B$48&amp;'3.5 Uso de productos'!$F$16:$F$48,'3.5 Uso de productos'!$AD$16:$AD$48,"-")</f>
        <v>IPCC 2006 (vol2; chapter 2) , Table 2.4</v>
      </c>
      <c r="K554" s="764" t="str" cm="1">
        <f t="array" ref="K554">_xlfn.XLOOKUP(E554&amp;G554,'3.5 Uso de productos'!$B$16:$B$48&amp;'3.5 Uso de productos'!$F$16:$F$48,'3.5 Uso de productos'!$AE$16:$AE$48,"-")</f>
        <v>CNE BNE 2020</v>
      </c>
      <c r="L554" s="768" t="str" cm="1">
        <f t="array" ref="L554">_xlfn.XLOOKUP(E554&amp;G554,'3.5 Uso de productos'!$B$16:$B$48&amp;'3.5 Uso de productos'!$F$16:$F$48,'3.5 Uso de productos'!$AF$16:$AF$48,"-")</f>
        <v>IPCC 2006 (vol2; chapter 1) , Table 1.2</v>
      </c>
    </row>
    <row r="555" spans="2:12" ht="28.8">
      <c r="B555" s="764" t="s">
        <v>210</v>
      </c>
      <c r="C555" s="764" t="s">
        <v>82</v>
      </c>
      <c r="D555" s="764" t="s">
        <v>318</v>
      </c>
      <c r="E555" s="764" t="s">
        <v>112</v>
      </c>
      <c r="F555" s="764" t="s">
        <v>102</v>
      </c>
      <c r="G555" s="764" t="s">
        <v>103</v>
      </c>
      <c r="H555" s="765" cm="1">
        <f t="array" ref="H555">_xlfn.XLOOKUP(E555&amp;G555,'3.5 Uso de productos'!$B$16:$B$48&amp;'3.5 Uso de productos'!$F$16:$F$48,'3.5 Uso de productos'!$AB$16:$AB$48,"-")</f>
        <v>1.9804687688971803</v>
      </c>
      <c r="I555" s="764" t="str" cm="1">
        <f t="array" ref="I555">_xlfn.XLOOKUP(E555&amp;G555,'3.5 Uso de productos'!$B$16:$B$48&amp;'3.5 Uso de productos'!$F$16:$F$48,'3.5 Uso de productos'!$AC$16:$AC$48,"-")</f>
        <v>kgCO2e/metros cúbicos</v>
      </c>
      <c r="J555" s="764" t="str" cm="1">
        <f t="array" ref="J555">_xlfn.XLOOKUP(E555&amp;G555,'3.5 Uso de productos'!$B$16:$B$48&amp;'3.5 Uso de productos'!$F$16:$F$48,'3.5 Uso de productos'!$AD$16:$AD$48,"-")</f>
        <v>IPCC 2006 (vol2; chapter 2) , Table 2.4</v>
      </c>
      <c r="K555" s="764" t="str" cm="1">
        <f t="array" ref="K555">_xlfn.XLOOKUP(E555&amp;G555,'3.5 Uso de productos'!$B$16:$B$48&amp;'3.5 Uso de productos'!$F$16:$F$48,'3.5 Uso de productos'!$AE$16:$AE$48,"-")</f>
        <v>CNE BNE 2020</v>
      </c>
      <c r="L555" s="768" t="str" cm="1">
        <f t="array" ref="L555">_xlfn.XLOOKUP(E555&amp;G555,'3.5 Uso de productos'!$B$16:$B$48&amp;'3.5 Uso de productos'!$F$16:$F$48,'3.5 Uso de productos'!$AF$16:$AF$48,"-")</f>
        <v>-</v>
      </c>
    </row>
    <row r="556" spans="2:12" ht="28.8">
      <c r="B556" s="764" t="s">
        <v>210</v>
      </c>
      <c r="C556" s="764" t="s">
        <v>82</v>
      </c>
      <c r="D556" s="764" t="s">
        <v>318</v>
      </c>
      <c r="E556" s="764" t="s">
        <v>112</v>
      </c>
      <c r="F556" s="764" t="s">
        <v>102</v>
      </c>
      <c r="G556" s="764" t="s">
        <v>106</v>
      </c>
      <c r="H556" s="765" cm="1">
        <f t="array" ref="H556">_xlfn.XLOOKUP(E556&amp;G556,'3.5 Uso de productos'!$B$16:$B$48&amp;'3.5 Uso de productos'!$F$16:$F$48,'3.5 Uso de productos'!$AB$16:$AB$48,"-")</f>
        <v>2491.1556841473962</v>
      </c>
      <c r="I556" s="764" t="str" cm="1">
        <f t="array" ref="I556">_xlfn.XLOOKUP(E556&amp;G556,'3.5 Uso de productos'!$B$16:$B$48&amp;'3.5 Uso de productos'!$F$16:$F$48,'3.5 Uso de productos'!$AC$16:$AC$48,"-")</f>
        <v>kgCO2e/toneladas</v>
      </c>
      <c r="J556" s="764" t="str" cm="1">
        <f t="array" ref="J556">_xlfn.XLOOKUP(E556&amp;G556,'3.5 Uso de productos'!$B$16:$B$48&amp;'3.5 Uso de productos'!$F$16:$F$48,'3.5 Uso de productos'!$AD$16:$AD$48,"-")</f>
        <v>IPCC 2006 (vol2; chapter 2) , Table 2.4</v>
      </c>
      <c r="K556" s="764" t="str" cm="1">
        <f t="array" ref="K556">_xlfn.XLOOKUP(E556&amp;G556,'3.5 Uso de productos'!$B$16:$B$48&amp;'3.5 Uso de productos'!$F$16:$F$48,'3.5 Uso de productos'!$AE$16:$AE$48,"-")</f>
        <v>CNE BNE 2020</v>
      </c>
      <c r="L556" s="768" t="str" cm="1">
        <f t="array" ref="L556">_xlfn.XLOOKUP(E556&amp;G556,'3.5 Uso de productos'!$B$16:$B$48&amp;'3.5 Uso de productos'!$F$16:$F$48,'3.5 Uso de productos'!$AF$16:$AF$48,"-")</f>
        <v>DEFRA 2023 (Fuel properties), Natural Gas</v>
      </c>
    </row>
    <row r="557" spans="2:12" ht="28.8">
      <c r="B557" s="764" t="s">
        <v>210</v>
      </c>
      <c r="C557" s="764" t="s">
        <v>82</v>
      </c>
      <c r="D557" s="764" t="s">
        <v>318</v>
      </c>
      <c r="E557" s="764" t="s">
        <v>112</v>
      </c>
      <c r="F557" s="764" t="s">
        <v>102</v>
      </c>
      <c r="G557" s="764" t="s">
        <v>107</v>
      </c>
      <c r="H557" s="765" cm="1">
        <f t="array" ref="H557">_xlfn.XLOOKUP(E557&amp;G557,'3.5 Uso de productos'!$B$16:$B$48&amp;'3.5 Uso de productos'!$F$16:$F$48,'3.5 Uso de productos'!$AB$16:$AB$48,"-")</f>
        <v>2.4911556841473965</v>
      </c>
      <c r="I557" s="764" t="str" cm="1">
        <f t="array" ref="I557">_xlfn.XLOOKUP(E557&amp;G557,'3.5 Uso de productos'!$B$16:$B$48&amp;'3.5 Uso de productos'!$F$16:$F$48,'3.5 Uso de productos'!$AC$16:$AC$48,"-")</f>
        <v>kgCO2e/kilogramos</v>
      </c>
      <c r="J557" s="764" t="str" cm="1">
        <f t="array" ref="J557">_xlfn.XLOOKUP(E557&amp;G557,'3.5 Uso de productos'!$B$16:$B$48&amp;'3.5 Uso de productos'!$F$16:$F$48,'3.5 Uso de productos'!$AD$16:$AD$48,"-")</f>
        <v>IPCC 2006 (vol2; chapter 2) , Table 2.4</v>
      </c>
      <c r="K557" s="764" t="str" cm="1">
        <f t="array" ref="K557">_xlfn.XLOOKUP(E557&amp;G557,'3.5 Uso de productos'!$B$16:$B$48&amp;'3.5 Uso de productos'!$F$16:$F$48,'3.5 Uso de productos'!$AE$16:$AE$48,"-")</f>
        <v>CNE BNE 2020</v>
      </c>
      <c r="L557" s="768" t="str" cm="1">
        <f t="array" ref="L557">_xlfn.XLOOKUP(E557&amp;G557,'3.5 Uso de productos'!$B$16:$B$48&amp;'3.5 Uso de productos'!$F$16:$F$48,'3.5 Uso de productos'!$AF$16:$AF$48,"-")</f>
        <v>DEFRA 2023 (Fuel properties), Natural Gas</v>
      </c>
    </row>
    <row r="558" spans="2:12" ht="28.8">
      <c r="B558" s="764" t="s">
        <v>210</v>
      </c>
      <c r="C558" s="764" t="s">
        <v>82</v>
      </c>
      <c r="D558" s="764" t="s">
        <v>318</v>
      </c>
      <c r="E558" s="764" t="s">
        <v>112</v>
      </c>
      <c r="F558" s="764" t="s">
        <v>102</v>
      </c>
      <c r="G558" s="764" t="s">
        <v>108</v>
      </c>
      <c r="H558" s="769" cm="1">
        <f t="array" ref="H558">_xlfn.XLOOKUP(E558&amp;G558,'3.5 Uso de productos'!$B$16:$B$48&amp;'3.5 Uso de productos'!$F$16:$F$48,'3.5 Uso de productos'!$AB$16:$AB$48,"-")</f>
        <v>2.4911556841473964E-3</v>
      </c>
      <c r="I558" s="764" t="str" cm="1">
        <f t="array" ref="I558">_xlfn.XLOOKUP(E558&amp;G558,'3.5 Uso de productos'!$B$16:$B$48&amp;'3.5 Uso de productos'!$F$16:$F$48,'3.5 Uso de productos'!$AC$16:$AC$48,"-")</f>
        <v>kgCO2e/gramos</v>
      </c>
      <c r="J558" s="764" t="str" cm="1">
        <f t="array" ref="J558">_xlfn.XLOOKUP(E558&amp;G558,'3.5 Uso de productos'!$B$16:$B$48&amp;'3.5 Uso de productos'!$F$16:$F$48,'3.5 Uso de productos'!$AD$16:$AD$48,"-")</f>
        <v>IPCC 2006 (vol2; chapter 2) , Table 2.4</v>
      </c>
      <c r="K558" s="764" t="str" cm="1">
        <f t="array" ref="K558">_xlfn.XLOOKUP(E558&amp;G558,'3.5 Uso de productos'!$B$16:$B$48&amp;'3.5 Uso de productos'!$F$16:$F$48,'3.5 Uso de productos'!$AE$16:$AE$48,"-")</f>
        <v>CNE BNE 2020</v>
      </c>
      <c r="L558" s="768" t="str" cm="1">
        <f t="array" ref="L558">_xlfn.XLOOKUP(E558&amp;G558,'3.5 Uso de productos'!$B$16:$B$48&amp;'3.5 Uso de productos'!$F$16:$F$48,'3.5 Uso de productos'!$AF$16:$AF$48,"-")</f>
        <v>DEFRA 2023 (Fuel properties), Natural Gas</v>
      </c>
    </row>
    <row r="559" spans="2:12" ht="28.8">
      <c r="B559" s="764" t="s">
        <v>210</v>
      </c>
      <c r="C559" s="764" t="s">
        <v>82</v>
      </c>
      <c r="D559" s="764" t="s">
        <v>318</v>
      </c>
      <c r="E559" s="764" t="s">
        <v>113</v>
      </c>
      <c r="F559" s="764" t="s">
        <v>102</v>
      </c>
      <c r="G559" s="764" t="s">
        <v>103</v>
      </c>
      <c r="H559" s="765" cm="1">
        <f t="array" ref="H559">_xlfn.XLOOKUP(E559&amp;G559,'3.5 Uso de productos'!$B$16:$B$48&amp;'3.5 Uso de productos'!$F$16:$F$48,'3.5 Uso de productos'!$AB$16:$AB$48,"-")</f>
        <v>0.97879439756339981</v>
      </c>
      <c r="I559" s="764" t="str" cm="1">
        <f t="array" ref="I559">_xlfn.XLOOKUP(E559&amp;G559,'3.5 Uso de productos'!$B$16:$B$48&amp;'3.5 Uso de productos'!$F$16:$F$48,'3.5 Uso de productos'!$AC$16:$AC$48,"-")</f>
        <v>kgCO2e/metros cúbicos</v>
      </c>
      <c r="J559" s="764" t="str" cm="1">
        <f t="array" ref="J559">_xlfn.XLOOKUP(E559&amp;G559,'3.5 Uso de productos'!$B$16:$B$48&amp;'3.5 Uso de productos'!$F$16:$F$48,'3.5 Uso de productos'!$AD$16:$AD$48,"-")</f>
        <v>IPCC 2006 (vol2; chapter 2) , Table 2.4</v>
      </c>
      <c r="K559" s="764" t="str" cm="1">
        <f t="array" ref="K559">_xlfn.XLOOKUP(E559&amp;G559,'3.5 Uso de productos'!$B$16:$B$48&amp;'3.5 Uso de productos'!$F$16:$F$48,'3.5 Uso de productos'!$AE$16:$AE$48,"-")</f>
        <v>CNE BNE 2020</v>
      </c>
      <c r="L559" s="768" t="str" cm="1">
        <f t="array" ref="L559">_xlfn.XLOOKUP(E559&amp;G559,'3.5 Uso de productos'!$B$16:$B$48&amp;'3.5 Uso de productos'!$F$16:$F$48,'3.5 Uso de productos'!$AF$16:$AF$48,"-")</f>
        <v>-</v>
      </c>
    </row>
    <row r="560" spans="2:12" ht="28.8">
      <c r="B560" s="764" t="s">
        <v>210</v>
      </c>
      <c r="C560" s="764" t="s">
        <v>82</v>
      </c>
      <c r="D560" s="764" t="s">
        <v>318</v>
      </c>
      <c r="E560" s="764" t="s">
        <v>113</v>
      </c>
      <c r="F560" s="764" t="s">
        <v>102</v>
      </c>
      <c r="G560" s="764" t="s">
        <v>104</v>
      </c>
      <c r="H560" s="769" cm="1">
        <f t="array" ref="H560">_xlfn.XLOOKUP(E560&amp;G560,'3.5 Uso de productos'!$B$16:$B$48&amp;'3.5 Uso de productos'!$F$16:$F$48,'3.5 Uso de productos'!$AB$16:$AB$48,"-")</f>
        <v>9.787943975633998E-4</v>
      </c>
      <c r="I560" s="764" t="str" cm="1">
        <f t="array" ref="I560">_xlfn.XLOOKUP(E560&amp;G560,'3.5 Uso de productos'!$B$16:$B$48&amp;'3.5 Uso de productos'!$F$16:$F$48,'3.5 Uso de productos'!$AC$16:$AC$48,"-")</f>
        <v>kgCO2e/litros</v>
      </c>
      <c r="J560" s="764" t="str" cm="1">
        <f t="array" ref="J560">_xlfn.XLOOKUP(E560&amp;G560,'3.5 Uso de productos'!$B$16:$B$48&amp;'3.5 Uso de productos'!$F$16:$F$48,'3.5 Uso de productos'!$AD$16:$AD$48,"-")</f>
        <v>IPCC 2006 (vol2; chapter 2) , Table 2.4</v>
      </c>
      <c r="K560" s="764" t="str" cm="1">
        <f t="array" ref="K560">_xlfn.XLOOKUP(E560&amp;G560,'3.5 Uso de productos'!$B$16:$B$48&amp;'3.5 Uso de productos'!$F$16:$F$48,'3.5 Uso de productos'!$AE$16:$AE$48,"-")</f>
        <v>CNE BNE 2020</v>
      </c>
      <c r="L560" s="768" t="str" cm="1">
        <f t="array" ref="L560">_xlfn.XLOOKUP(E560&amp;G560,'3.5 Uso de productos'!$B$16:$B$48&amp;'3.5 Uso de productos'!$F$16:$F$48,'3.5 Uso de productos'!$AF$16:$AF$48,"-")</f>
        <v>-</v>
      </c>
    </row>
    <row r="561" spans="2:12" ht="28.8">
      <c r="B561" s="764" t="s">
        <v>210</v>
      </c>
      <c r="C561" s="764" t="s">
        <v>82</v>
      </c>
      <c r="D561" s="764" t="s">
        <v>318</v>
      </c>
      <c r="E561" s="764" t="s">
        <v>114</v>
      </c>
      <c r="F561" s="764" t="s">
        <v>102</v>
      </c>
      <c r="G561" s="764" t="s">
        <v>103</v>
      </c>
      <c r="H561" s="765" cm="1">
        <f t="array" ref="H561">_xlfn.XLOOKUP(E561&amp;G561,'3.5 Uso de productos'!$B$16:$B$48&amp;'3.5 Uso de productos'!$F$16:$F$48,'3.5 Uso de productos'!$AB$16:$AB$48,"-")</f>
        <v>1586.5238092869004</v>
      </c>
      <c r="I561" s="764" t="str" cm="1">
        <f t="array" ref="I561">_xlfn.XLOOKUP(E561&amp;G561,'3.5 Uso de productos'!$B$16:$B$48&amp;'3.5 Uso de productos'!$F$16:$F$48,'3.5 Uso de productos'!$AC$16:$AC$48,"-")</f>
        <v>kgCO2e/metros cúbicos</v>
      </c>
      <c r="J561" s="764" t="str" cm="1">
        <f t="array" ref="J561">_xlfn.XLOOKUP(E561&amp;G561,'3.5 Uso de productos'!$B$16:$B$48&amp;'3.5 Uso de productos'!$F$16:$F$48,'3.5 Uso de productos'!$AD$16:$AD$48,"-")</f>
        <v>IPCC 2006 (vol2; chapter 2) , Table 2.4</v>
      </c>
      <c r="K561" s="764" t="str" cm="1">
        <f t="array" ref="K561">_xlfn.XLOOKUP(E561&amp;G561,'3.5 Uso de productos'!$B$16:$B$48&amp;'3.5 Uso de productos'!$F$16:$F$48,'3.5 Uso de productos'!$AE$16:$AE$48,"-")</f>
        <v>CNE BNE 2020</v>
      </c>
      <c r="L561" s="768" t="str" cm="1">
        <f t="array" ref="L561">_xlfn.XLOOKUP(E561&amp;G561,'3.5 Uso de productos'!$B$16:$B$48&amp;'3.5 Uso de productos'!$F$16:$F$48,'3.5 Uso de productos'!$AF$16:$AF$48,"-")</f>
        <v>-</v>
      </c>
    </row>
    <row r="562" spans="2:12" ht="28.8">
      <c r="B562" s="764" t="s">
        <v>210</v>
      </c>
      <c r="C562" s="764" t="s">
        <v>82</v>
      </c>
      <c r="D562" s="764" t="s">
        <v>318</v>
      </c>
      <c r="E562" s="764" t="s">
        <v>114</v>
      </c>
      <c r="F562" s="764" t="s">
        <v>102</v>
      </c>
      <c r="G562" s="764" t="s">
        <v>104</v>
      </c>
      <c r="H562" s="765" cm="1">
        <f t="array" ref="H562">_xlfn.XLOOKUP(E562&amp;G562,'3.5 Uso de productos'!$B$16:$B$48&amp;'3.5 Uso de productos'!$F$16:$F$48,'3.5 Uso de productos'!$AB$16:$AB$48,"-")</f>
        <v>1.5865238092869003</v>
      </c>
      <c r="I562" s="764" t="str" cm="1">
        <f t="array" ref="I562">_xlfn.XLOOKUP(E562&amp;G562,'3.5 Uso de productos'!$B$16:$B$48&amp;'3.5 Uso de productos'!$F$16:$F$48,'3.5 Uso de productos'!$AC$16:$AC$48,"-")</f>
        <v>kgCO2e/litros</v>
      </c>
      <c r="J562" s="764" t="str" cm="1">
        <f t="array" ref="J562">_xlfn.XLOOKUP(E562&amp;G562,'3.5 Uso de productos'!$B$16:$B$48&amp;'3.5 Uso de productos'!$F$16:$F$48,'3.5 Uso de productos'!$AD$16:$AD$48,"-")</f>
        <v>IPCC 2006 (vol2; chapter 2) , Table 2.4</v>
      </c>
      <c r="K562" s="764" t="str" cm="1">
        <f t="array" ref="K562">_xlfn.XLOOKUP(E562&amp;G562,'3.5 Uso de productos'!$B$16:$B$48&amp;'3.5 Uso de productos'!$F$16:$F$48,'3.5 Uso de productos'!$AE$16:$AE$48,"-")</f>
        <v>CNE BNE 2020</v>
      </c>
      <c r="L562" s="768" t="str" cm="1">
        <f t="array" ref="L562">_xlfn.XLOOKUP(E562&amp;G562,'3.5 Uso de productos'!$B$16:$B$48&amp;'3.5 Uso de productos'!$F$16:$F$48,'3.5 Uso de productos'!$AF$16:$AF$48,"-")</f>
        <v>-</v>
      </c>
    </row>
    <row r="563" spans="2:12" ht="28.8">
      <c r="B563" s="764" t="s">
        <v>210</v>
      </c>
      <c r="C563" s="764" t="s">
        <v>82</v>
      </c>
      <c r="D563" s="764" t="s">
        <v>318</v>
      </c>
      <c r="E563" s="764" t="s">
        <v>115</v>
      </c>
      <c r="F563" s="764" t="s">
        <v>102</v>
      </c>
      <c r="G563" s="764" t="s">
        <v>103</v>
      </c>
      <c r="H563" s="765" cm="1">
        <f t="array" ref="H563">_xlfn.XLOOKUP(E563&amp;G563,'3.5 Uso de productos'!$B$16:$B$48&amp;'3.5 Uso de productos'!$F$16:$F$48,'3.5 Uso de productos'!$AB$16:$AB$48,"-")</f>
        <v>1.9804687688971803</v>
      </c>
      <c r="I563" s="764" t="str" cm="1">
        <f t="array" ref="I563">_xlfn.XLOOKUP(E563&amp;G563,'3.5 Uso de productos'!$B$16:$B$48&amp;'3.5 Uso de productos'!$F$16:$F$48,'3.5 Uso de productos'!$AC$16:$AC$48,"-")</f>
        <v>kgCO2e/metros cúbicos</v>
      </c>
      <c r="J563" s="764" t="str" cm="1">
        <f t="array" ref="J563">_xlfn.XLOOKUP(E563&amp;G563,'3.5 Uso de productos'!$B$16:$B$48&amp;'3.5 Uso de productos'!$F$16:$F$48,'3.5 Uso de productos'!$AD$16:$AD$48,"-")</f>
        <v>IPCC 2006 (vol2; chapter 2) , Table 2.4</v>
      </c>
      <c r="K563" s="764" t="str" cm="1">
        <f t="array" ref="K563">_xlfn.XLOOKUP(E563&amp;G563,'3.5 Uso de productos'!$B$16:$B$48&amp;'3.5 Uso de productos'!$F$16:$F$48,'3.5 Uso de productos'!$AE$16:$AE$48,"-")</f>
        <v>CNE BNE 2020</v>
      </c>
      <c r="L563" s="768" t="str" cm="1">
        <f t="array" ref="L563">_xlfn.XLOOKUP(E563&amp;G563,'3.5 Uso de productos'!$B$16:$B$48&amp;'3.5 Uso de productos'!$F$16:$F$48,'3.5 Uso de productos'!$AF$16:$AF$48,"-")</f>
        <v>DEFRA 2023 (Fuel properties), Natural Gas</v>
      </c>
    </row>
    <row r="564" spans="2:12" ht="28.8">
      <c r="B564" s="764" t="s">
        <v>210</v>
      </c>
      <c r="C564" s="764" t="s">
        <v>82</v>
      </c>
      <c r="D564" s="764" t="s">
        <v>318</v>
      </c>
      <c r="E564" s="764" t="s">
        <v>116</v>
      </c>
      <c r="F564" s="764" t="s">
        <v>102</v>
      </c>
      <c r="G564" s="764" t="s">
        <v>103</v>
      </c>
      <c r="H564" s="765" cm="1">
        <f t="array" ref="H564">_xlfn.XLOOKUP(E564&amp;G564,'3.5 Uso de productos'!$B$16:$B$48&amp;'3.5 Uso de productos'!$F$16:$F$48,'3.5 Uso de productos'!$AB$16:$AB$48,"-")</f>
        <v>2586.9397811495392</v>
      </c>
      <c r="I564" s="764" t="str" cm="1">
        <f t="array" ref="I564">_xlfn.XLOOKUP(E564&amp;G564,'3.5 Uso de productos'!$B$16:$B$48&amp;'3.5 Uso de productos'!$F$16:$F$48,'3.5 Uso de productos'!$AC$16:$AC$48,"-")</f>
        <v>kgCO2e/metros cúbicos</v>
      </c>
      <c r="J564" s="764" t="str" cm="1">
        <f t="array" ref="J564">_xlfn.XLOOKUP(E564&amp;G564,'3.5 Uso de productos'!$B$16:$B$48&amp;'3.5 Uso de productos'!$F$16:$F$48,'3.5 Uso de productos'!$AD$16:$AD$48,"-")</f>
        <v>IPCC 2006 (vol2; chapter 2) , Table 2.4</v>
      </c>
      <c r="K564" s="764" t="str" cm="1">
        <f t="array" ref="K564">_xlfn.XLOOKUP(E564&amp;G564,'3.5 Uso de productos'!$B$16:$B$48&amp;'3.5 Uso de productos'!$F$16:$F$48,'3.5 Uso de productos'!$AE$16:$AE$48,"-")</f>
        <v>CNE BNE 2020</v>
      </c>
      <c r="L564" s="768" t="str" cm="1">
        <f t="array" ref="L564">_xlfn.XLOOKUP(E564&amp;G564,'3.5 Uso de productos'!$B$16:$B$48&amp;'3.5 Uso de productos'!$F$16:$F$48,'3.5 Uso de productos'!$AF$16:$AF$48,"-")</f>
        <v>-</v>
      </c>
    </row>
    <row r="565" spans="2:12" ht="28.8">
      <c r="B565" s="764" t="s">
        <v>210</v>
      </c>
      <c r="C565" s="764" t="s">
        <v>82</v>
      </c>
      <c r="D565" s="764" t="s">
        <v>318</v>
      </c>
      <c r="E565" s="764" t="s">
        <v>116</v>
      </c>
      <c r="F565" s="764" t="s">
        <v>102</v>
      </c>
      <c r="G565" s="764" t="s">
        <v>104</v>
      </c>
      <c r="H565" s="765" cm="1">
        <f t="array" ref="H565">_xlfn.XLOOKUP(E565&amp;G565,'3.5 Uso de productos'!$B$16:$B$48&amp;'3.5 Uso de productos'!$F$16:$F$48,'3.5 Uso de productos'!$AB$16:$AB$48,"-")</f>
        <v>2.5869397811495394</v>
      </c>
      <c r="I565" s="764" t="str" cm="1">
        <f t="array" ref="I565">_xlfn.XLOOKUP(E565&amp;G565,'3.5 Uso de productos'!$B$16:$B$48&amp;'3.5 Uso de productos'!$F$16:$F$48,'3.5 Uso de productos'!$AC$16:$AC$48,"-")</f>
        <v>kgCO2e/litros</v>
      </c>
      <c r="J565" s="764" t="str" cm="1">
        <f t="array" ref="J565">_xlfn.XLOOKUP(E565&amp;G565,'3.5 Uso de productos'!$B$16:$B$48&amp;'3.5 Uso de productos'!$F$16:$F$48,'3.5 Uso de productos'!$AD$16:$AD$48,"-")</f>
        <v>IPCC 2006 (vol2; chapter 2) , Table 2.4</v>
      </c>
      <c r="K565" s="764" t="str" cm="1">
        <f t="array" ref="K565">_xlfn.XLOOKUP(E565&amp;G565,'3.5 Uso de productos'!$B$16:$B$48&amp;'3.5 Uso de productos'!$F$16:$F$48,'3.5 Uso de productos'!$AE$16:$AE$48,"-")</f>
        <v>CNE BNE 2020</v>
      </c>
      <c r="L565" s="768" t="str" cm="1">
        <f t="array" ref="L565">_xlfn.XLOOKUP(E565&amp;G565,'3.5 Uso de productos'!$B$16:$B$48&amp;'3.5 Uso de productos'!$F$16:$F$48,'3.5 Uso de productos'!$AF$16:$AF$48,"-")</f>
        <v>-</v>
      </c>
    </row>
    <row r="566" spans="2:12" ht="28.8">
      <c r="B566" s="764" t="s">
        <v>210</v>
      </c>
      <c r="C566" s="764" t="s">
        <v>82</v>
      </c>
      <c r="D566" s="764" t="s">
        <v>318</v>
      </c>
      <c r="E566" s="764" t="s">
        <v>117</v>
      </c>
      <c r="F566" s="764" t="s">
        <v>102</v>
      </c>
      <c r="G566" s="764" t="s">
        <v>106</v>
      </c>
      <c r="H566" s="765" cm="1">
        <f t="array" ref="H566">_xlfn.XLOOKUP(E566&amp;G566,'3.5 Uso de productos'!$B$16:$B$48&amp;'3.5 Uso de productos'!$F$16:$F$48,'3.5 Uso de productos'!$AB$16:$AB$48,"-")</f>
        <v>3155.342485014</v>
      </c>
      <c r="I566" s="764" t="str" cm="1">
        <f t="array" ref="I566">_xlfn.XLOOKUP(E566&amp;G566,'3.5 Uso de productos'!$B$16:$B$48&amp;'3.5 Uso de productos'!$F$16:$F$48,'3.5 Uso de productos'!$AC$16:$AC$48,"-")</f>
        <v>kgCO2e/toneladas</v>
      </c>
      <c r="J566" s="764" t="str" cm="1">
        <f t="array" ref="J566">_xlfn.XLOOKUP(E566&amp;G566,'3.5 Uso de productos'!$B$16:$B$48&amp;'3.5 Uso de productos'!$F$16:$F$48,'3.5 Uso de productos'!$AD$16:$AD$48,"-")</f>
        <v>IPCC 2006 (vol2; chapter 2) , Table 2.4</v>
      </c>
      <c r="K566" s="764" t="str" cm="1">
        <f t="array" ref="K566">_xlfn.XLOOKUP(E566&amp;G566,'3.5 Uso de productos'!$B$16:$B$48&amp;'3.5 Uso de productos'!$F$16:$F$48,'3.5 Uso de productos'!$AE$16:$AE$48,"-")</f>
        <v>CNE BNE 2020</v>
      </c>
      <c r="L566" s="768" t="str" cm="1">
        <f t="array" ref="L566">_xlfn.XLOOKUP(E566&amp;G566,'3.5 Uso de productos'!$B$16:$B$48&amp;'3.5 Uso de productos'!$F$16:$F$48,'3.5 Uso de productos'!$AF$16:$AF$48,"-")</f>
        <v>-</v>
      </c>
    </row>
    <row r="567" spans="2:12" ht="28.8">
      <c r="B567" s="764" t="s">
        <v>210</v>
      </c>
      <c r="C567" s="764" t="s">
        <v>82</v>
      </c>
      <c r="D567" s="764" t="s">
        <v>318</v>
      </c>
      <c r="E567" s="764" t="s">
        <v>117</v>
      </c>
      <c r="F567" s="764" t="s">
        <v>102</v>
      </c>
      <c r="G567" s="764" t="s">
        <v>107</v>
      </c>
      <c r="H567" s="765" cm="1">
        <f t="array" ref="H567">_xlfn.XLOOKUP(E567&amp;G567,'3.5 Uso de productos'!$B$16:$B$48&amp;'3.5 Uso de productos'!$F$16:$F$48,'3.5 Uso de productos'!$AB$16:$AB$48,"-")</f>
        <v>3.1553424850140002</v>
      </c>
      <c r="I567" s="764" t="str" cm="1">
        <f t="array" ref="I567">_xlfn.XLOOKUP(E567&amp;G567,'3.5 Uso de productos'!$B$16:$B$48&amp;'3.5 Uso de productos'!$F$16:$F$48,'3.5 Uso de productos'!$AC$16:$AC$48,"-")</f>
        <v>kgCO2e/kilogramos</v>
      </c>
      <c r="J567" s="764" t="str" cm="1">
        <f t="array" ref="J567">_xlfn.XLOOKUP(E567&amp;G567,'3.5 Uso de productos'!$B$16:$B$48&amp;'3.5 Uso de productos'!$F$16:$F$48,'3.5 Uso de productos'!$AD$16:$AD$48,"-")</f>
        <v>IPCC 2006 (vol2; chapter 2) , Table 2.4</v>
      </c>
      <c r="K567" s="764" t="str" cm="1">
        <f t="array" ref="K567">_xlfn.XLOOKUP(E567&amp;G567,'3.5 Uso de productos'!$B$16:$B$48&amp;'3.5 Uso de productos'!$F$16:$F$48,'3.5 Uso de productos'!$AE$16:$AE$48,"-")</f>
        <v>CNE BNE 2020</v>
      </c>
      <c r="L567" s="768" t="str" cm="1">
        <f t="array" ref="L567">_xlfn.XLOOKUP(E567&amp;G567,'3.5 Uso de productos'!$B$16:$B$48&amp;'3.5 Uso de productos'!$F$16:$F$48,'3.5 Uso de productos'!$AF$16:$AF$48,"-")</f>
        <v>-</v>
      </c>
    </row>
    <row r="568" spans="2:12" ht="28.8">
      <c r="B568" s="764" t="s">
        <v>210</v>
      </c>
      <c r="C568" s="764" t="s">
        <v>82</v>
      </c>
      <c r="D568" s="764" t="s">
        <v>318</v>
      </c>
      <c r="E568" s="764" t="s">
        <v>117</v>
      </c>
      <c r="F568" s="764" t="s">
        <v>102</v>
      </c>
      <c r="G568" s="764" t="s">
        <v>108</v>
      </c>
      <c r="H568" s="769" cm="1">
        <f t="array" ref="H568">_xlfn.XLOOKUP(E568&amp;G568,'3.5 Uso de productos'!$B$16:$B$48&amp;'3.5 Uso de productos'!$F$16:$F$48,'3.5 Uso de productos'!$AB$16:$AB$48,"-")</f>
        <v>3.1553424850140001E-3</v>
      </c>
      <c r="I568" s="764" t="str" cm="1">
        <f t="array" ref="I568">_xlfn.XLOOKUP(E568&amp;G568,'3.5 Uso de productos'!$B$16:$B$48&amp;'3.5 Uso de productos'!$F$16:$F$48,'3.5 Uso de productos'!$AC$16:$AC$48,"-")</f>
        <v>kgCO2e/gramos</v>
      </c>
      <c r="J568" s="764" t="str" cm="1">
        <f t="array" ref="J568">_xlfn.XLOOKUP(E568&amp;G568,'3.5 Uso de productos'!$B$16:$B$48&amp;'3.5 Uso de productos'!$F$16:$F$48,'3.5 Uso de productos'!$AD$16:$AD$48,"-")</f>
        <v>IPCC 2006 (vol2; chapter 2) , Table 2.4</v>
      </c>
      <c r="K568" s="764" t="str" cm="1">
        <f t="array" ref="K568">_xlfn.XLOOKUP(E568&amp;G568,'3.5 Uso de productos'!$B$16:$B$48&amp;'3.5 Uso de productos'!$F$16:$F$48,'3.5 Uso de productos'!$AE$16:$AE$48,"-")</f>
        <v>CNE BNE 2020</v>
      </c>
      <c r="L568" s="768" t="str" cm="1">
        <f t="array" ref="L568">_xlfn.XLOOKUP(E568&amp;G568,'3.5 Uso de productos'!$B$16:$B$48&amp;'3.5 Uso de productos'!$F$16:$F$48,'3.5 Uso de productos'!$AF$16:$AF$48,"-")</f>
        <v>-</v>
      </c>
    </row>
    <row r="569" spans="2:12" ht="28.8">
      <c r="B569" s="764" t="s">
        <v>210</v>
      </c>
      <c r="C569" s="764" t="s">
        <v>82</v>
      </c>
      <c r="D569" s="764" t="s">
        <v>318</v>
      </c>
      <c r="E569" s="764" t="s">
        <v>118</v>
      </c>
      <c r="F569" s="764" t="s">
        <v>102</v>
      </c>
      <c r="G569" s="764" t="s">
        <v>103</v>
      </c>
      <c r="H569" s="765" cm="1">
        <f t="array" ref="H569">_xlfn.XLOOKUP(E569&amp;G569,'3.5 Uso de productos'!$B$16:$B$48&amp;'3.5 Uso de productos'!$F$16:$F$48,'3.5 Uso de productos'!$AB$16:$AB$48,"-")</f>
        <v>2714.5332574466397</v>
      </c>
      <c r="I569" s="764" t="str" cm="1">
        <f t="array" ref="I569">_xlfn.XLOOKUP(E569&amp;G569,'3.5 Uso de productos'!$B$16:$B$48&amp;'3.5 Uso de productos'!$F$16:$F$48,'3.5 Uso de productos'!$AC$16:$AC$48,"-")</f>
        <v>kgCO2e/metros cúbicos</v>
      </c>
      <c r="J569" s="764" t="str" cm="1">
        <f t="array" ref="J569">_xlfn.XLOOKUP(E569&amp;G569,'3.5 Uso de productos'!$B$16:$B$48&amp;'3.5 Uso de productos'!$F$16:$F$48,'3.5 Uso de productos'!$AD$16:$AD$48,"-")</f>
        <v>IPCC 2006 (vol2; chapter 2) , Table 2.4</v>
      </c>
      <c r="K569" s="764" t="str" cm="1">
        <f t="array" ref="K569">_xlfn.XLOOKUP(E569&amp;G569,'3.5 Uso de productos'!$B$16:$B$48&amp;'3.5 Uso de productos'!$F$16:$F$48,'3.5 Uso de productos'!$AE$16:$AE$48,"-")</f>
        <v>CNE BNE 2020</v>
      </c>
      <c r="L569" s="768" t="str" cm="1">
        <f t="array" ref="L569">_xlfn.XLOOKUP(E569&amp;G569,'3.5 Uso de productos'!$B$16:$B$48&amp;'3.5 Uso de productos'!$F$16:$F$48,'3.5 Uso de productos'!$AF$16:$AF$48,"-")</f>
        <v>-</v>
      </c>
    </row>
    <row r="570" spans="2:12" ht="28.8">
      <c r="B570" s="764" t="s">
        <v>210</v>
      </c>
      <c r="C570" s="764" t="s">
        <v>82</v>
      </c>
      <c r="D570" s="764" t="s">
        <v>318</v>
      </c>
      <c r="E570" s="764" t="s">
        <v>118</v>
      </c>
      <c r="F570" s="764" t="s">
        <v>102</v>
      </c>
      <c r="G570" s="764" t="s">
        <v>104</v>
      </c>
      <c r="H570" s="765" cm="1">
        <f t="array" ref="H570">_xlfn.XLOOKUP(E570&amp;G570,'3.5 Uso de productos'!$B$16:$B$48&amp;'3.5 Uso de productos'!$F$16:$F$48,'3.5 Uso de productos'!$AB$16:$AB$48,"-")</f>
        <v>2.7145332574466399</v>
      </c>
      <c r="I570" s="764" t="str" cm="1">
        <f t="array" ref="I570">_xlfn.XLOOKUP(E570&amp;G570,'3.5 Uso de productos'!$B$16:$B$48&amp;'3.5 Uso de productos'!$F$16:$F$48,'3.5 Uso de productos'!$AC$16:$AC$48,"-")</f>
        <v>kgCO2e/litros</v>
      </c>
      <c r="J570" s="764" t="str" cm="1">
        <f t="array" ref="J570">_xlfn.XLOOKUP(E570&amp;G570,'3.5 Uso de productos'!$B$16:$B$48&amp;'3.5 Uso de productos'!$F$16:$F$48,'3.5 Uso de productos'!$AD$16:$AD$48,"-")</f>
        <v>IPCC 2006 (vol2; chapter 2) , Table 2.4</v>
      </c>
      <c r="K570" s="764" t="str" cm="1">
        <f t="array" ref="K570">_xlfn.XLOOKUP(E570&amp;G570,'3.5 Uso de productos'!$B$16:$B$48&amp;'3.5 Uso de productos'!$F$16:$F$48,'3.5 Uso de productos'!$AE$16:$AE$48,"-")</f>
        <v>CNE BNE 2020</v>
      </c>
      <c r="L570" s="768" t="str" cm="1">
        <f t="array" ref="L570">_xlfn.XLOOKUP(E570&amp;G570,'3.5 Uso de productos'!$B$16:$B$48&amp;'3.5 Uso de productos'!$F$16:$F$48,'3.5 Uso de productos'!$AF$16:$AF$48,"-")</f>
        <v>-</v>
      </c>
    </row>
    <row r="571" spans="2:12" ht="28.8">
      <c r="B571" s="764" t="s">
        <v>210</v>
      </c>
      <c r="C571" s="764" t="s">
        <v>82</v>
      </c>
      <c r="D571" s="764" t="s">
        <v>318</v>
      </c>
      <c r="E571" s="764" t="s">
        <v>119</v>
      </c>
      <c r="F571" s="764" t="s">
        <v>102</v>
      </c>
      <c r="G571" s="764" t="s">
        <v>103</v>
      </c>
      <c r="H571" s="765" cm="1">
        <f t="array" ref="H571">_xlfn.XLOOKUP(E571&amp;G571,'3.5 Uso de productos'!$B$16:$B$48&amp;'3.5 Uso de productos'!$F$16:$F$48,'3.5 Uso de productos'!$AB$16:$AB$48,"-")</f>
        <v>3013.5062872674898</v>
      </c>
      <c r="I571" s="764" t="str" cm="1">
        <f t="array" ref="I571">_xlfn.XLOOKUP(E571&amp;G571,'3.5 Uso de productos'!$B$16:$B$48&amp;'3.5 Uso de productos'!$F$16:$F$48,'3.5 Uso de productos'!$AC$16:$AC$48,"-")</f>
        <v>kgCO2e/metros cúbicos</v>
      </c>
      <c r="J571" s="764" t="str" cm="1">
        <f t="array" ref="J571">_xlfn.XLOOKUP(E571&amp;G571,'3.5 Uso de productos'!$B$16:$B$48&amp;'3.5 Uso de productos'!$F$16:$F$48,'3.5 Uso de productos'!$AD$16:$AD$48,"-")</f>
        <v>IPCC 2006 (vol2; chapter 2) , Table 2.4</v>
      </c>
      <c r="K571" s="764" t="str" cm="1">
        <f t="array" ref="K571">_xlfn.XLOOKUP(E571&amp;G571,'3.5 Uso de productos'!$B$16:$B$48&amp;'3.5 Uso de productos'!$F$16:$F$48,'3.5 Uso de productos'!$AE$16:$AE$48,"-")</f>
        <v>CNE BNE 2020</v>
      </c>
      <c r="L571" s="768" t="str" cm="1">
        <f t="array" ref="L571">_xlfn.XLOOKUP(E571&amp;G571,'3.5 Uso de productos'!$B$16:$B$48&amp;'3.5 Uso de productos'!$F$16:$F$48,'3.5 Uso de productos'!$AF$16:$AF$48,"-")</f>
        <v>-</v>
      </c>
    </row>
    <row r="572" spans="2:12" ht="28.8">
      <c r="B572" s="764" t="s">
        <v>210</v>
      </c>
      <c r="C572" s="764" t="s">
        <v>82</v>
      </c>
      <c r="D572" s="764" t="s">
        <v>318</v>
      </c>
      <c r="E572" s="764" t="s">
        <v>119</v>
      </c>
      <c r="F572" s="764" t="s">
        <v>102</v>
      </c>
      <c r="G572" s="764" t="s">
        <v>104</v>
      </c>
      <c r="H572" s="765" cm="1">
        <f t="array" ref="H572">_xlfn.XLOOKUP(E572&amp;G572,'3.5 Uso de productos'!$B$16:$B$48&amp;'3.5 Uso de productos'!$F$16:$F$48,'3.5 Uso de productos'!$AB$16:$AB$48,"-")</f>
        <v>3.0135062872674898</v>
      </c>
      <c r="I572" s="764" t="str" cm="1">
        <f t="array" ref="I572">_xlfn.XLOOKUP(E572&amp;G572,'3.5 Uso de productos'!$B$16:$B$48&amp;'3.5 Uso de productos'!$F$16:$F$48,'3.5 Uso de productos'!$AC$16:$AC$48,"-")</f>
        <v>kgCO2e/litros</v>
      </c>
      <c r="J572" s="764" t="str" cm="1">
        <f t="array" ref="J572">_xlfn.XLOOKUP(E572&amp;G572,'3.5 Uso de productos'!$B$16:$B$48&amp;'3.5 Uso de productos'!$F$16:$F$48,'3.5 Uso de productos'!$AD$16:$AD$48,"-")</f>
        <v>IPCC 2006 (vol2; chapter 2) , Table 2.4</v>
      </c>
      <c r="K572" s="764" t="str" cm="1">
        <f t="array" ref="K572">_xlfn.XLOOKUP(E572&amp;G572,'3.5 Uso de productos'!$B$16:$B$48&amp;'3.5 Uso de productos'!$F$16:$F$48,'3.5 Uso de productos'!$AE$16:$AE$48,"-")</f>
        <v>CNE BNE 2020</v>
      </c>
      <c r="L572" s="768" t="str" cm="1">
        <f t="array" ref="L572">_xlfn.XLOOKUP(E572&amp;G572,'3.5 Uso de productos'!$B$16:$B$48&amp;'3.5 Uso de productos'!$F$16:$F$48,'3.5 Uso de productos'!$AF$16:$AF$48,"-")</f>
        <v>-</v>
      </c>
    </row>
    <row r="573" spans="2:12" ht="28.8">
      <c r="B573" s="764" t="s">
        <v>210</v>
      </c>
      <c r="C573" s="764" t="s">
        <v>82</v>
      </c>
      <c r="D573" s="764" t="s">
        <v>318</v>
      </c>
      <c r="E573" s="764" t="s">
        <v>120</v>
      </c>
      <c r="F573" s="764" t="s">
        <v>102</v>
      </c>
      <c r="G573" s="764" t="s">
        <v>103</v>
      </c>
      <c r="H573" s="765" cm="1">
        <f t="array" ref="H573">_xlfn.XLOOKUP(E573&amp;G573,'3.5 Uso de productos'!$B$16:$B$48&amp;'3.5 Uso de productos'!$F$16:$F$48,'3.5 Uso de productos'!$AB$16:$AB$48,"-")</f>
        <v>3072.02097245715</v>
      </c>
      <c r="I573" s="764" t="str" cm="1">
        <f t="array" ref="I573">_xlfn.XLOOKUP(E573&amp;G573,'3.5 Uso de productos'!$B$16:$B$48&amp;'3.5 Uso de productos'!$F$16:$F$48,'3.5 Uso de productos'!$AC$16:$AC$48,"-")</f>
        <v>kgCO2e/metros cúbicos</v>
      </c>
      <c r="J573" s="764" t="str" cm="1">
        <f t="array" ref="J573">_xlfn.XLOOKUP(E573&amp;G573,'3.5 Uso de productos'!$B$16:$B$48&amp;'3.5 Uso de productos'!$F$16:$F$48,'3.5 Uso de productos'!$AD$16:$AD$48,"-")</f>
        <v>IPCC 2006 (vol2; chapter 2) , Table 2.4</v>
      </c>
      <c r="K573" s="764" t="str" cm="1">
        <f t="array" ref="K573">_xlfn.XLOOKUP(E573&amp;G573,'3.5 Uso de productos'!$B$16:$B$48&amp;'3.5 Uso de productos'!$F$16:$F$48,'3.5 Uso de productos'!$AE$16:$AE$48,"-")</f>
        <v>CNE BNE 2020</v>
      </c>
      <c r="L573" s="768" t="str" cm="1">
        <f t="array" ref="L573">_xlfn.XLOOKUP(E573&amp;G573,'3.5 Uso de productos'!$B$16:$B$48&amp;'3.5 Uso de productos'!$F$16:$F$48,'3.5 Uso de productos'!$AF$16:$AF$48,"-")</f>
        <v>-</v>
      </c>
    </row>
    <row r="574" spans="2:12" ht="28.8">
      <c r="B574" s="764" t="s">
        <v>210</v>
      </c>
      <c r="C574" s="764" t="s">
        <v>82</v>
      </c>
      <c r="D574" s="764" t="s">
        <v>318</v>
      </c>
      <c r="E574" s="764" t="s">
        <v>120</v>
      </c>
      <c r="F574" s="764" t="s">
        <v>102</v>
      </c>
      <c r="G574" s="764" t="s">
        <v>104</v>
      </c>
      <c r="H574" s="765" cm="1">
        <f t="array" ref="H574">_xlfn.XLOOKUP(E574&amp;G574,'3.5 Uso de productos'!$B$16:$B$48&amp;'3.5 Uso de productos'!$F$16:$F$48,'3.5 Uso de productos'!$AB$16:$AB$48,"-")</f>
        <v>3.0720209724571501</v>
      </c>
      <c r="I574" s="764" t="str" cm="1">
        <f t="array" ref="I574">_xlfn.XLOOKUP(E574&amp;G574,'3.5 Uso de productos'!$B$16:$B$48&amp;'3.5 Uso de productos'!$F$16:$F$48,'3.5 Uso de productos'!$AC$16:$AC$48,"-")</f>
        <v>kgCO2e/litros</v>
      </c>
      <c r="J574" s="764" t="str" cm="1">
        <f t="array" ref="J574">_xlfn.XLOOKUP(E574&amp;G574,'3.5 Uso de productos'!$B$16:$B$48&amp;'3.5 Uso de productos'!$F$16:$F$48,'3.5 Uso de productos'!$AD$16:$AD$48,"-")</f>
        <v>IPCC 2006 (vol2; chapter 2) , Table 2.4</v>
      </c>
      <c r="K574" s="764" t="str" cm="1">
        <f t="array" ref="K574">_xlfn.XLOOKUP(E574&amp;G574,'3.5 Uso de productos'!$B$16:$B$48&amp;'3.5 Uso de productos'!$F$16:$F$48,'3.5 Uso de productos'!$AE$16:$AE$48,"-")</f>
        <v>CNE BNE 2020</v>
      </c>
      <c r="L574" s="768" t="str" cm="1">
        <f t="array" ref="L574">_xlfn.XLOOKUP(E574&amp;G574,'3.5 Uso de productos'!$B$16:$B$48&amp;'3.5 Uso de productos'!$F$16:$F$48,'3.5 Uso de productos'!$AF$16:$AF$48,"-")</f>
        <v>-</v>
      </c>
    </row>
    <row r="575" spans="2:12" ht="43.2">
      <c r="B575" s="764" t="s">
        <v>210</v>
      </c>
      <c r="C575" s="764" t="s">
        <v>82</v>
      </c>
      <c r="D575" s="764" t="s">
        <v>142</v>
      </c>
      <c r="E575" s="764" t="s">
        <v>143</v>
      </c>
      <c r="F575" s="764" t="s">
        <v>102</v>
      </c>
      <c r="G575" s="764" t="s">
        <v>107</v>
      </c>
      <c r="H575" s="774" cm="1">
        <f t="array" ref="H575">_xlfn.XLOOKUP(E575&amp;G575,'3.5 Uso de productos'!$C$59:$C$90&amp;'3.5 Uso de productos'!$F$59:$F$90,'3.5 Uso de productos'!$G$59:$G$90,"-")</f>
        <v>858</v>
      </c>
      <c r="I575" s="764" t="str" cm="1">
        <f t="array" ref="I575">_xlfn.XLOOKUP(E575&amp;G575,'3.5 Uso de productos'!$C$59:$C$90&amp;'3.5 Uso de productos'!$F$59:$F$90,'3.5 Uso de productos'!$H$59:$H$90,"-")</f>
        <v>kgCO2e/kilogramos</v>
      </c>
      <c r="J575" s="764" t="str" cm="1">
        <f t="array" ref="J575">_xlfn.XLOOKUP(E575&amp;G575,'3.5 Uso de productos'!$C$59:$C$90&amp;'3.5 Uso de productos'!$F$59:$F$90,'3.5 Uso de productos'!$I$59:$I$90,"-")</f>
        <v>IPCC 2006 (vol3; chapter 7) , Table 7.8 | IPCC 2012 (AR5; chapter 8), Table 8.A.1</v>
      </c>
      <c r="K575" s="764" t="s">
        <v>102</v>
      </c>
      <c r="L575" s="764" t="s">
        <v>102</v>
      </c>
    </row>
    <row r="576" spans="2:12" ht="43.2">
      <c r="B576" s="764" t="s">
        <v>210</v>
      </c>
      <c r="C576" s="764" t="s">
        <v>82</v>
      </c>
      <c r="D576" s="764" t="s">
        <v>142</v>
      </c>
      <c r="E576" s="764" t="s">
        <v>170</v>
      </c>
      <c r="F576" s="764" t="s">
        <v>102</v>
      </c>
      <c r="G576" s="764" t="s">
        <v>107</v>
      </c>
      <c r="H576" s="774" cm="1">
        <f t="array" ref="H576">_xlfn.XLOOKUP(E576&amp;G576,'3.5 Uso de productos'!$C$59:$C$90&amp;'3.5 Uso de productos'!$F$59:$F$90,'3.5 Uso de productos'!$G$59:$G$90,"-")</f>
        <v>328</v>
      </c>
      <c r="I576" s="764" t="str" cm="1">
        <f t="array" ref="I576">_xlfn.XLOOKUP(E576&amp;G576,'3.5 Uso de productos'!$C$59:$C$90&amp;'3.5 Uso de productos'!$F$59:$F$90,'3.5 Uso de productos'!$H$59:$H$90,"-")</f>
        <v>kgCO2e/kilogramos</v>
      </c>
      <c r="J576" s="764" t="str" cm="1">
        <f t="array" ref="J576">_xlfn.XLOOKUP(E576&amp;G576,'3.5 Uso de productos'!$C$59:$C$90&amp;'3.5 Uso de productos'!$F$59:$F$90,'3.5 Uso de productos'!$I$59:$I$90,"-")</f>
        <v>IPCC 2006 (vol3; chapter 7) , Table 7.8 | IPCC 2012 (AR5; chapter 8), Table 8.A.1</v>
      </c>
      <c r="K576" s="764" t="s">
        <v>102</v>
      </c>
      <c r="L576" s="768" t="s">
        <v>102</v>
      </c>
    </row>
    <row r="577" spans="2:12" ht="43.2">
      <c r="B577" s="764" t="s">
        <v>210</v>
      </c>
      <c r="C577" s="764" t="s">
        <v>82</v>
      </c>
      <c r="D577" s="764" t="s">
        <v>142</v>
      </c>
      <c r="E577" s="764" t="s">
        <v>171</v>
      </c>
      <c r="F577" s="764" t="s">
        <v>102</v>
      </c>
      <c r="G577" s="764" t="s">
        <v>107</v>
      </c>
      <c r="H577" s="774" cm="1">
        <f t="array" ref="H577">_xlfn.XLOOKUP(E577&amp;G577,'3.5 Uso de productos'!$C$59:$C$90&amp;'3.5 Uso de productos'!$F$59:$F$90,'3.5 Uso de productos'!$G$59:$G$90,"-")</f>
        <v>4800</v>
      </c>
      <c r="I577" s="764" t="str" cm="1">
        <f t="array" ref="I577">_xlfn.XLOOKUP(E577&amp;G577,'3.5 Uso de productos'!$C$59:$C$90&amp;'3.5 Uso de productos'!$F$59:$F$90,'3.5 Uso de productos'!$H$59:$H$90,"-")</f>
        <v>kgCO2e/kilogramos</v>
      </c>
      <c r="J577" s="764" t="str" cm="1">
        <f t="array" ref="J577">_xlfn.XLOOKUP(E577&amp;G577,'3.5 Uso de productos'!$C$59:$C$90&amp;'3.5 Uso de productos'!$F$59:$F$90,'3.5 Uso de productos'!$I$59:$I$90,"-")</f>
        <v>IPCC 2006 (vol3; chapter 7) , Table 7.8 | IPCC 2012 (AR5; chapter 8), Table 8.A.1</v>
      </c>
      <c r="K577" s="764" t="s">
        <v>102</v>
      </c>
      <c r="L577" s="768" t="s">
        <v>102</v>
      </c>
    </row>
    <row r="578" spans="2:12" ht="43.2">
      <c r="B578" s="764" t="s">
        <v>210</v>
      </c>
      <c r="C578" s="764" t="s">
        <v>82</v>
      </c>
      <c r="D578" s="764" t="s">
        <v>142</v>
      </c>
      <c r="E578" s="764" t="s">
        <v>172</v>
      </c>
      <c r="F578" s="764" t="s">
        <v>102</v>
      </c>
      <c r="G578" s="764" t="s">
        <v>107</v>
      </c>
      <c r="H578" s="774" cm="1">
        <f t="array" ref="H578">_xlfn.XLOOKUP(E578&amp;G578,'3.5 Uso de productos'!$C$59:$C$90&amp;'3.5 Uso de productos'!$F$59:$F$90,'3.5 Uso de productos'!$G$59:$G$90,"-")</f>
        <v>138</v>
      </c>
      <c r="I578" s="764" t="str" cm="1">
        <f t="array" ref="I578">_xlfn.XLOOKUP(E578&amp;G578,'3.5 Uso de productos'!$C$59:$C$90&amp;'3.5 Uso de productos'!$F$59:$F$90,'3.5 Uso de productos'!$H$59:$H$90,"-")</f>
        <v>kgCO2e/kilogramos</v>
      </c>
      <c r="J578" s="764" t="str" cm="1">
        <f t="array" ref="J578">_xlfn.XLOOKUP(E578&amp;G578,'3.5 Uso de productos'!$C$59:$C$90&amp;'3.5 Uso de productos'!$F$59:$F$90,'3.5 Uso de productos'!$I$59:$I$90,"-")</f>
        <v>IPCC 2006 (vol3; chapter 7) , Table 7.8 | IPCC 2012 (AR5; chapter 8), Table 8.A.1</v>
      </c>
      <c r="K578" s="764" t="s">
        <v>102</v>
      </c>
      <c r="L578" s="768" t="s">
        <v>102</v>
      </c>
    </row>
    <row r="579" spans="2:12" ht="43.2">
      <c r="B579" s="764" t="s">
        <v>210</v>
      </c>
      <c r="C579" s="764" t="s">
        <v>82</v>
      </c>
      <c r="D579" s="764" t="s">
        <v>142</v>
      </c>
      <c r="E579" s="764" t="s">
        <v>173</v>
      </c>
      <c r="F579" s="764" t="s">
        <v>102</v>
      </c>
      <c r="G579" s="764" t="s">
        <v>107</v>
      </c>
      <c r="H579" s="774" cm="1">
        <f t="array" ref="H579">_xlfn.XLOOKUP(E579&amp;G579,'3.5 Uso de productos'!$C$59:$C$90&amp;'3.5 Uso de productos'!$F$59:$F$90,'3.5 Uso de productos'!$G$59:$G$90,"-")</f>
        <v>3350</v>
      </c>
      <c r="I579" s="764" t="str" cm="1">
        <f t="array" ref="I579">_xlfn.XLOOKUP(E579&amp;G579,'3.5 Uso de productos'!$C$59:$C$90&amp;'3.5 Uso de productos'!$F$59:$F$90,'3.5 Uso de productos'!$H$59:$H$90,"-")</f>
        <v>kgCO2e/kilogramos</v>
      </c>
      <c r="J579" s="764" t="str" cm="1">
        <f t="array" ref="J579">_xlfn.XLOOKUP(E579&amp;G579,'3.5 Uso de productos'!$C$59:$C$90&amp;'3.5 Uso de productos'!$F$59:$F$90,'3.5 Uso de productos'!$I$59:$I$90,"-")</f>
        <v>IPCC 2006 (vol3; chapter 7) , Table 7.8 | IPCC 2012 (AR5; chapter 8), Table 8.A.1</v>
      </c>
      <c r="K579" s="764" t="s">
        <v>102</v>
      </c>
      <c r="L579" s="768" t="s">
        <v>102</v>
      </c>
    </row>
    <row r="580" spans="2:12" ht="43.2">
      <c r="B580" s="764" t="s">
        <v>210</v>
      </c>
      <c r="C580" s="764" t="s">
        <v>82</v>
      </c>
      <c r="D580" s="764" t="s">
        <v>142</v>
      </c>
      <c r="E580" s="764" t="s">
        <v>174</v>
      </c>
      <c r="F580" s="764" t="s">
        <v>102</v>
      </c>
      <c r="G580" s="764" t="s">
        <v>107</v>
      </c>
      <c r="H580" s="774" cm="1">
        <f t="array" ref="H580">_xlfn.XLOOKUP(E580&amp;G580,'3.5 Uso de productos'!$C$59:$C$90&amp;'3.5 Uso de productos'!$F$59:$F$90,'3.5 Uso de productos'!$G$59:$G$90,"-")</f>
        <v>12400</v>
      </c>
      <c r="I580" s="764" t="str" cm="1">
        <f t="array" ref="I580">_xlfn.XLOOKUP(E580&amp;G580,'3.5 Uso de productos'!$C$59:$C$90&amp;'3.5 Uso de productos'!$F$59:$F$90,'3.5 Uso de productos'!$H$59:$H$90,"-")</f>
        <v>kgCO2e/kilogramos</v>
      </c>
      <c r="J580" s="764" t="str" cm="1">
        <f t="array" ref="J580">_xlfn.XLOOKUP(E580&amp;G580,'3.5 Uso de productos'!$C$59:$C$90&amp;'3.5 Uso de productos'!$F$59:$F$90,'3.5 Uso de productos'!$I$59:$I$90,"-")</f>
        <v>IPCC 2006 (vol3; chapter 7) , Table 7.8 | IPCC 2012 (AR5; chapter 8), Table 8.A.1</v>
      </c>
      <c r="K580" s="764" t="s">
        <v>102</v>
      </c>
      <c r="L580" s="768" t="s">
        <v>102</v>
      </c>
    </row>
    <row r="581" spans="2:12" ht="43.2">
      <c r="B581" s="764" t="s">
        <v>210</v>
      </c>
      <c r="C581" s="764" t="s">
        <v>82</v>
      </c>
      <c r="D581" s="764" t="s">
        <v>142</v>
      </c>
      <c r="E581" s="764" t="s">
        <v>175</v>
      </c>
      <c r="F581" s="764" t="s">
        <v>102</v>
      </c>
      <c r="G581" s="764" t="s">
        <v>107</v>
      </c>
      <c r="H581" s="774" cm="1">
        <f t="array" ref="H581">_xlfn.XLOOKUP(E581&amp;G581,'3.5 Uso de productos'!$C$59:$C$90&amp;'3.5 Uso de productos'!$F$59:$F$90,'3.5 Uso de productos'!$G$59:$G$90,"-")</f>
        <v>8060</v>
      </c>
      <c r="I581" s="764" t="str" cm="1">
        <f t="array" ref="I581">_xlfn.XLOOKUP(E581&amp;G581,'3.5 Uso de productos'!$C$59:$C$90&amp;'3.5 Uso de productos'!$F$59:$F$90,'3.5 Uso de productos'!$H$59:$H$90,"-")</f>
        <v>kgCO2e/kilogramos</v>
      </c>
      <c r="J581" s="764" t="str" cm="1">
        <f t="array" ref="J581">_xlfn.XLOOKUP(E581&amp;G581,'3.5 Uso de productos'!$C$59:$C$90&amp;'3.5 Uso de productos'!$F$59:$F$90,'3.5 Uso de productos'!$I$59:$I$90,"-")</f>
        <v>IPCC 2006 (vol3; chapter 7) , Table 7.8 | IPCC 2012 (AR5; chapter 8), Table 8.A.1</v>
      </c>
      <c r="K581" s="764" t="s">
        <v>102</v>
      </c>
      <c r="L581" s="768" t="s">
        <v>102</v>
      </c>
    </row>
    <row r="582" spans="2:12" ht="43.2">
      <c r="B582" s="764" t="s">
        <v>210</v>
      </c>
      <c r="C582" s="764" t="s">
        <v>82</v>
      </c>
      <c r="D582" s="764" t="s">
        <v>142</v>
      </c>
      <c r="E582" s="764" t="s">
        <v>144</v>
      </c>
      <c r="F582" s="764" t="s">
        <v>102</v>
      </c>
      <c r="G582" s="764" t="s">
        <v>107</v>
      </c>
      <c r="H582" s="774" cm="1">
        <f t="array" ref="H582">_xlfn.XLOOKUP(E582&amp;G582,'3.5 Uso de productos'!$C$59:$C$90&amp;'3.5 Uso de productos'!$F$59:$F$90,'3.5 Uso de productos'!$G$59:$G$90,"-")</f>
        <v>677</v>
      </c>
      <c r="I582" s="764" t="str" cm="1">
        <f t="array" ref="I582">_xlfn.XLOOKUP(E582&amp;G582,'3.5 Uso de productos'!$C$59:$C$90&amp;'3.5 Uso de productos'!$F$59:$F$90,'3.5 Uso de productos'!$H$59:$H$90,"-")</f>
        <v>kgCO2e/kilogramos</v>
      </c>
      <c r="J582" s="764" t="str" cm="1">
        <f t="array" ref="J582">_xlfn.XLOOKUP(E582&amp;G582,'3.5 Uso de productos'!$C$59:$C$90&amp;'3.5 Uso de productos'!$F$59:$F$90,'3.5 Uso de productos'!$I$59:$I$90,"-")</f>
        <v>IPCC 2006 (vol3; chapter 7) , Table 7.8 | IPCC 2012 (AR5; chapter 8), Table 8.A.1</v>
      </c>
      <c r="K582" s="764" t="s">
        <v>102</v>
      </c>
      <c r="L582" s="768" t="s">
        <v>102</v>
      </c>
    </row>
    <row r="583" spans="2:12" ht="43.2">
      <c r="B583" s="764" t="s">
        <v>210</v>
      </c>
      <c r="C583" s="764" t="s">
        <v>82</v>
      </c>
      <c r="D583" s="764" t="s">
        <v>142</v>
      </c>
      <c r="E583" s="764" t="s">
        <v>145</v>
      </c>
      <c r="F583" s="764" t="s">
        <v>102</v>
      </c>
      <c r="G583" s="764" t="s">
        <v>107</v>
      </c>
      <c r="H583" s="774" cm="1">
        <f t="array" ref="H583">_xlfn.XLOOKUP(E583&amp;G583,'3.5 Uso de productos'!$C$59:$C$90&amp;'3.5 Uso de productos'!$F$59:$F$90,'3.5 Uso de productos'!$G$59:$G$90,"-")</f>
        <v>116</v>
      </c>
      <c r="I583" s="764" t="str" cm="1">
        <f t="array" ref="I583">_xlfn.XLOOKUP(E583&amp;G583,'3.5 Uso de productos'!$C$59:$C$90&amp;'3.5 Uso de productos'!$F$59:$F$90,'3.5 Uso de productos'!$H$59:$H$90,"-")</f>
        <v>kgCO2e/kilogramos</v>
      </c>
      <c r="J583" s="764" t="str" cm="1">
        <f t="array" ref="J583">_xlfn.XLOOKUP(E583&amp;G583,'3.5 Uso de productos'!$C$59:$C$90&amp;'3.5 Uso de productos'!$F$59:$F$90,'3.5 Uso de productos'!$I$59:$I$90,"-")</f>
        <v>IPCC 2006 (vol3; chapter 7) , Table 7.8 | IPCC 2012 (AR5; chapter 8), Table 8.A.1</v>
      </c>
      <c r="K583" s="764" t="s">
        <v>102</v>
      </c>
      <c r="L583" s="768" t="s">
        <v>102</v>
      </c>
    </row>
    <row r="584" spans="2:12" ht="43.2">
      <c r="B584" s="764" t="s">
        <v>210</v>
      </c>
      <c r="C584" s="764" t="s">
        <v>82</v>
      </c>
      <c r="D584" s="764" t="s">
        <v>142</v>
      </c>
      <c r="E584" s="764" t="s">
        <v>146</v>
      </c>
      <c r="F584" s="764" t="s">
        <v>102</v>
      </c>
      <c r="G584" s="764" t="s">
        <v>107</v>
      </c>
      <c r="H584" s="774" cm="1">
        <f t="array" ref="H584">_xlfn.XLOOKUP(E584&amp;G584,'3.5 Uso de productos'!$C$59:$C$90&amp;'3.5 Uso de productos'!$F$59:$F$90,'3.5 Uso de productos'!$G$59:$G$90,"-")</f>
        <v>1650</v>
      </c>
      <c r="I584" s="764" t="str" cm="1">
        <f t="array" ref="I584">_xlfn.XLOOKUP(E584&amp;G584,'3.5 Uso de productos'!$C$59:$C$90&amp;'3.5 Uso de productos'!$F$59:$F$90,'3.5 Uso de productos'!$H$59:$H$90,"-")</f>
        <v>kgCO2e/kilogramos</v>
      </c>
      <c r="J584" s="764" t="str" cm="1">
        <f t="array" ref="J584">_xlfn.XLOOKUP(E584&amp;G584,'3.5 Uso de productos'!$C$59:$C$90&amp;'3.5 Uso de productos'!$F$59:$F$90,'3.5 Uso de productos'!$I$59:$I$90,"-")</f>
        <v>IPCC 2006 (vol3; chapter 7) , Table 7.8 | IPCC 2012 (AR5; chapter 8), Table 8.A.1</v>
      </c>
      <c r="K584" s="764" t="s">
        <v>102</v>
      </c>
      <c r="L584" s="768" t="s">
        <v>102</v>
      </c>
    </row>
    <row r="585" spans="2:12" ht="43.2">
      <c r="B585" s="764" t="s">
        <v>210</v>
      </c>
      <c r="C585" s="764" t="s">
        <v>82</v>
      </c>
      <c r="D585" s="764" t="s">
        <v>142</v>
      </c>
      <c r="E585" s="764" t="s">
        <v>147</v>
      </c>
      <c r="F585" s="764" t="s">
        <v>102</v>
      </c>
      <c r="G585" s="764" t="s">
        <v>107</v>
      </c>
      <c r="H585" s="774" cm="1">
        <f t="array" ref="H585">_xlfn.XLOOKUP(E585&amp;G585,'3.5 Uso de productos'!$C$59:$C$90&amp;'3.5 Uso de productos'!$F$59:$F$90,'3.5 Uso de productos'!$G$59:$G$90,"-")</f>
        <v>9200</v>
      </c>
      <c r="I585" s="764" t="str" cm="1">
        <f t="array" ref="I585">_xlfn.XLOOKUP(E585&amp;G585,'3.5 Uso de productos'!$C$59:$C$90&amp;'3.5 Uso de productos'!$F$59:$F$90,'3.5 Uso de productos'!$H$59:$H$90,"-")</f>
        <v>kgCO2e/kilogramos</v>
      </c>
      <c r="J585" s="764" t="str" cm="1">
        <f t="array" ref="J585">_xlfn.XLOOKUP(E585&amp;G585,'3.5 Uso de productos'!$C$59:$C$90&amp;'3.5 Uso de productos'!$F$59:$F$90,'3.5 Uso de productos'!$I$59:$I$90,"-")</f>
        <v>IPCC 2006 (vol3; chapter 7) , Table 7.8 | IPCC 2012 (AR5; chapter 8), Table 8.A.1</v>
      </c>
      <c r="K585" s="764" t="s">
        <v>102</v>
      </c>
      <c r="L585" s="768" t="s">
        <v>102</v>
      </c>
    </row>
    <row r="586" spans="2:12" ht="43.2">
      <c r="B586" s="764" t="s">
        <v>210</v>
      </c>
      <c r="C586" s="764" t="s">
        <v>82</v>
      </c>
      <c r="D586" s="764" t="s">
        <v>142</v>
      </c>
      <c r="E586" s="764" t="s">
        <v>148</v>
      </c>
      <c r="F586" s="764" t="s">
        <v>102</v>
      </c>
      <c r="G586" s="764" t="s">
        <v>107</v>
      </c>
      <c r="H586" s="774" cm="1">
        <f t="array" ref="H586">_xlfn.XLOOKUP(E586&amp;G586,'3.5 Uso de productos'!$C$59:$C$90&amp;'3.5 Uso de productos'!$F$59:$F$90,'3.5 Uso de productos'!$G$59:$G$90,"-")</f>
        <v>9540</v>
      </c>
      <c r="I586" s="764" t="str" cm="1">
        <f t="array" ref="I586">_xlfn.XLOOKUP(E586&amp;G586,'3.5 Uso de productos'!$C$59:$C$90&amp;'3.5 Uso de productos'!$F$59:$F$90,'3.5 Uso de productos'!$H$59:$H$90,"-")</f>
        <v>kgCO2e/kilogramos</v>
      </c>
      <c r="J586" s="764" t="str" cm="1">
        <f t="array" ref="J586">_xlfn.XLOOKUP(E586&amp;G586,'3.5 Uso de productos'!$C$59:$C$90&amp;'3.5 Uso de productos'!$F$59:$F$90,'3.5 Uso de productos'!$I$59:$I$90,"-")</f>
        <v>IPCC 2006 (vol3; chapter 7) , Table 7.8 | IPCC 2012 (AR5; chapter 8), Table 8.A.1</v>
      </c>
      <c r="K586" s="764" t="s">
        <v>102</v>
      </c>
      <c r="L586" s="768" t="s">
        <v>102</v>
      </c>
    </row>
    <row r="587" spans="2:12" ht="43.2">
      <c r="B587" s="764" t="s">
        <v>210</v>
      </c>
      <c r="C587" s="764" t="s">
        <v>82</v>
      </c>
      <c r="D587" s="764" t="s">
        <v>142</v>
      </c>
      <c r="E587" s="764" t="s">
        <v>149</v>
      </c>
      <c r="F587" s="764" t="s">
        <v>102</v>
      </c>
      <c r="G587" s="764" t="s">
        <v>107</v>
      </c>
      <c r="H587" s="774" cm="1">
        <f t="array" ref="H587">_xlfn.XLOOKUP(E587&amp;G587,'3.5 Uso de productos'!$C$59:$C$90&amp;'3.5 Uso de productos'!$F$59:$F$90,'3.5 Uso de productos'!$G$59:$G$90,"-")</f>
        <v>11100</v>
      </c>
      <c r="I587" s="764" t="str" cm="1">
        <f t="array" ref="I587">_xlfn.XLOOKUP(E587&amp;G587,'3.5 Uso de productos'!$C$59:$C$90&amp;'3.5 Uso de productos'!$F$59:$F$90,'3.5 Uso de productos'!$H$59:$H$90,"-")</f>
        <v>kgCO2e/kilogramos</v>
      </c>
      <c r="J587" s="764" t="str" cm="1">
        <f t="array" ref="J587">_xlfn.XLOOKUP(E587&amp;G587,'3.5 Uso de productos'!$C$59:$C$90&amp;'3.5 Uso de productos'!$F$59:$F$90,'3.5 Uso de productos'!$I$59:$I$90,"-")</f>
        <v>IPCC 2006 (vol3; chapter 7) , Table 7.8 | IPCC 2012 (AR5; chapter 8), Table 8.A.1</v>
      </c>
      <c r="K587" s="764" t="s">
        <v>102</v>
      </c>
      <c r="L587" s="768" t="s">
        <v>102</v>
      </c>
    </row>
    <row r="588" spans="2:12" ht="43.2">
      <c r="B588" s="764" t="s">
        <v>210</v>
      </c>
      <c r="C588" s="764" t="s">
        <v>82</v>
      </c>
      <c r="D588" s="764" t="s">
        <v>142</v>
      </c>
      <c r="E588" s="764" t="s">
        <v>150</v>
      </c>
      <c r="F588" s="764" t="s">
        <v>102</v>
      </c>
      <c r="G588" s="764" t="s">
        <v>107</v>
      </c>
      <c r="H588" s="774" cm="1">
        <f t="array" ref="H588">_xlfn.XLOOKUP(E588&amp;G588,'3.5 Uso de productos'!$C$59:$C$90&amp;'3.5 Uso de productos'!$F$59:$F$90,'3.5 Uso de productos'!$G$59:$G$90,"-")</f>
        <v>7910</v>
      </c>
      <c r="I588" s="764" t="str" cm="1">
        <f t="array" ref="I588">_xlfn.XLOOKUP(E588&amp;G588,'3.5 Uso de productos'!$C$59:$C$90&amp;'3.5 Uso de productos'!$F$59:$F$90,'3.5 Uso de productos'!$H$59:$H$90,"-")</f>
        <v>kgCO2e/kilogramos</v>
      </c>
      <c r="J588" s="764" t="str" cm="1">
        <f t="array" ref="J588">_xlfn.XLOOKUP(E588&amp;G588,'3.5 Uso de productos'!$C$59:$C$90&amp;'3.5 Uso de productos'!$F$59:$F$90,'3.5 Uso de productos'!$I$59:$I$90,"-")</f>
        <v>IPCC 2006 (vol3; chapter 7) , Table 7.8 | IPCC 2012 (AR5; chapter 8), Table 8.A.1</v>
      </c>
      <c r="K588" s="764" t="s">
        <v>102</v>
      </c>
      <c r="L588" s="768" t="s">
        <v>102</v>
      </c>
    </row>
    <row r="589" spans="2:12" ht="43.2">
      <c r="B589" s="764" t="s">
        <v>210</v>
      </c>
      <c r="C589" s="764" t="s">
        <v>82</v>
      </c>
      <c r="D589" s="764" t="s">
        <v>142</v>
      </c>
      <c r="E589" s="764" t="s">
        <v>151</v>
      </c>
      <c r="F589" s="764" t="s">
        <v>102</v>
      </c>
      <c r="G589" s="764" t="s">
        <v>107</v>
      </c>
      <c r="H589" s="774" cm="1">
        <f t="array" ref="H589">_xlfn.XLOOKUP(E589&amp;G589,'3.5 Uso de productos'!$C$59:$C$90&amp;'3.5 Uso de productos'!$F$59:$F$90,'3.5 Uso de productos'!$G$59:$G$90,"-")</f>
        <v>6630</v>
      </c>
      <c r="I589" s="764" t="str" cm="1">
        <f t="array" ref="I589">_xlfn.XLOOKUP(E589&amp;G589,'3.5 Uso de productos'!$C$59:$C$90&amp;'3.5 Uso de productos'!$F$59:$F$90,'3.5 Uso de productos'!$H$59:$H$90,"-")</f>
        <v>kgCO2e/kilogramos</v>
      </c>
      <c r="J589" s="764" t="str" cm="1">
        <f t="array" ref="J589">_xlfn.XLOOKUP(E589&amp;G589,'3.5 Uso de productos'!$C$59:$C$90&amp;'3.5 Uso de productos'!$F$59:$F$90,'3.5 Uso de productos'!$I$59:$I$90,"-")</f>
        <v>IPCC 2006 (vol3; chapter 7) , Table 7.8 | IPCC 2012 (AR5; chapter 8), Table 8.A.1</v>
      </c>
      <c r="K589" s="764" t="s">
        <v>102</v>
      </c>
      <c r="L589" s="768" t="s">
        <v>102</v>
      </c>
    </row>
    <row r="590" spans="2:12" ht="43.2">
      <c r="B590" s="764" t="s">
        <v>210</v>
      </c>
      <c r="C590" s="764" t="s">
        <v>82</v>
      </c>
      <c r="D590" s="764" t="s">
        <v>142</v>
      </c>
      <c r="E590" s="764" t="s">
        <v>152</v>
      </c>
      <c r="F590" s="764" t="s">
        <v>102</v>
      </c>
      <c r="G590" s="764" t="s">
        <v>107</v>
      </c>
      <c r="H590" s="774" cm="1">
        <f t="array" ref="H590">_xlfn.XLOOKUP(E590&amp;G590,'3.5 Uso de productos'!$C$59:$C$90&amp;'3.5 Uso de productos'!$F$59:$F$90,'3.5 Uso de productos'!$G$59:$G$90,"-")</f>
        <v>8550</v>
      </c>
      <c r="I590" s="764" t="str" cm="1">
        <f t="array" ref="I590">_xlfn.XLOOKUP(E590&amp;G590,'3.5 Uso de productos'!$C$59:$C$90&amp;'3.5 Uso de productos'!$F$59:$F$90,'3.5 Uso de productos'!$H$59:$H$90,"-")</f>
        <v>kgCO2e/kilogramos</v>
      </c>
      <c r="J590" s="764" t="str" cm="1">
        <f t="array" ref="J590">_xlfn.XLOOKUP(E590&amp;G590,'3.5 Uso de productos'!$C$59:$C$90&amp;'3.5 Uso de productos'!$F$59:$F$90,'3.5 Uso de productos'!$I$59:$I$90,"-")</f>
        <v>IPCC 2006 (vol3; chapter 7) , Table 7.8 | IPCC 2012 (AR5; chapter 8), Table 8.A.1</v>
      </c>
      <c r="K590" s="764" t="s">
        <v>102</v>
      </c>
      <c r="L590" s="768" t="s">
        <v>102</v>
      </c>
    </row>
    <row r="591" spans="2:12" ht="43.2">
      <c r="B591" s="764" t="s">
        <v>210</v>
      </c>
      <c r="C591" s="764" t="s">
        <v>82</v>
      </c>
      <c r="D591" s="764" t="s">
        <v>142</v>
      </c>
      <c r="E591" s="764" t="s">
        <v>153</v>
      </c>
      <c r="F591" s="764" t="s">
        <v>102</v>
      </c>
      <c r="G591" s="764" t="s">
        <v>107</v>
      </c>
      <c r="H591" s="774" cm="1">
        <f t="array" ref="H591">_xlfn.XLOOKUP(E591&amp;G591,'3.5 Uso de productos'!$C$59:$C$90&amp;'3.5 Uso de productos'!$F$59:$F$90,'3.5 Uso de productos'!$G$59:$G$90,"-")</f>
        <v>3170</v>
      </c>
      <c r="I591" s="764" t="str" cm="1">
        <f t="array" ref="I591">_xlfn.XLOOKUP(E591&amp;G591,'3.5 Uso de productos'!$C$59:$C$90&amp;'3.5 Uso de productos'!$F$59:$F$90,'3.5 Uso de productos'!$H$59:$H$90,"-")</f>
        <v>kgCO2e/kilogramos</v>
      </c>
      <c r="J591" s="764" t="str" cm="1">
        <f t="array" ref="J591">_xlfn.XLOOKUP(E591&amp;G591,'3.5 Uso de productos'!$C$59:$C$90&amp;'3.5 Uso de productos'!$F$59:$F$90,'3.5 Uso de productos'!$I$59:$I$90,"-")</f>
        <v>IPCC 2006 (vol3; chapter 7) , Table 7.8 | IPCC 2012 (AR5; chapter 8), Table 8.A.1</v>
      </c>
      <c r="K591" s="764" t="s">
        <v>102</v>
      </c>
      <c r="L591" s="768" t="s">
        <v>102</v>
      </c>
    </row>
    <row r="592" spans="2:12" ht="43.2">
      <c r="B592" s="764" t="s">
        <v>210</v>
      </c>
      <c r="C592" s="764" t="s">
        <v>82</v>
      </c>
      <c r="D592" s="764" t="s">
        <v>142</v>
      </c>
      <c r="E592" s="764" t="s">
        <v>154</v>
      </c>
      <c r="F592" s="764" t="s">
        <v>102</v>
      </c>
      <c r="G592" s="764" t="s">
        <v>107</v>
      </c>
      <c r="H592" s="774" cm="1">
        <f t="array" ref="H592">_xlfn.XLOOKUP(E592&amp;G592,'3.5 Uso de productos'!$C$59:$C$90&amp;'3.5 Uso de productos'!$F$59:$F$90,'3.5 Uso de productos'!$G$59:$G$90,"-")</f>
        <v>8900</v>
      </c>
      <c r="I592" s="764" t="str" cm="1">
        <f t="array" ref="I592">_xlfn.XLOOKUP(E592&amp;G592,'3.5 Uso de productos'!$C$59:$C$90&amp;'3.5 Uso de productos'!$F$59:$F$90,'3.5 Uso de productos'!$H$59:$H$90,"-")</f>
        <v>kgCO2e/kilogramos</v>
      </c>
      <c r="J592" s="764" t="str" cm="1">
        <f t="array" ref="J592">_xlfn.XLOOKUP(E592&amp;G592,'3.5 Uso de productos'!$C$59:$C$90&amp;'3.5 Uso de productos'!$F$59:$F$90,'3.5 Uso de productos'!$I$59:$I$90,"-")</f>
        <v>IPCC 2006 (vol3; chapter 7) , Table 7.8 | IPCC 2012 (AR5; chapter 8), Table 8.A.1</v>
      </c>
      <c r="K592" s="764" t="s">
        <v>102</v>
      </c>
      <c r="L592" s="768" t="s">
        <v>102</v>
      </c>
    </row>
    <row r="593" spans="2:12" ht="43.2">
      <c r="B593" s="764" t="s">
        <v>210</v>
      </c>
      <c r="C593" s="764" t="s">
        <v>82</v>
      </c>
      <c r="D593" s="764" t="s">
        <v>142</v>
      </c>
      <c r="E593" s="764" t="s">
        <v>155</v>
      </c>
      <c r="F593" s="764" t="s">
        <v>102</v>
      </c>
      <c r="G593" s="764" t="s">
        <v>107</v>
      </c>
      <c r="H593" s="774" cm="1">
        <f t="array" ref="H593">_xlfn.XLOOKUP(E593&amp;G593,'3.5 Uso de productos'!$C$59:$C$90&amp;'3.5 Uso de productos'!$F$59:$F$90,'3.5 Uso de productos'!$G$59:$G$90,"-")</f>
        <v>23500</v>
      </c>
      <c r="I593" s="764" t="str" cm="1">
        <f t="array" ref="I593">_xlfn.XLOOKUP(E593&amp;G593,'3.5 Uso de productos'!$C$59:$C$90&amp;'3.5 Uso de productos'!$F$59:$F$90,'3.5 Uso de productos'!$H$59:$H$90,"-")</f>
        <v>kgCO2e/kilogramos</v>
      </c>
      <c r="J593" s="764" t="str" cm="1">
        <f t="array" ref="J593">_xlfn.XLOOKUP(E593&amp;G593,'3.5 Uso de productos'!$C$59:$C$90&amp;'3.5 Uso de productos'!$F$59:$F$90,'3.5 Uso de productos'!$I$59:$I$90,"-")</f>
        <v>IPCC 2006 (vol3; chapter 7) , Table 7.8 | IPCC 2012 (AR5; chapter 8), Table 8.A.1</v>
      </c>
      <c r="K593" s="764" t="s">
        <v>102</v>
      </c>
      <c r="L593" s="768" t="s">
        <v>102</v>
      </c>
    </row>
    <row r="594" spans="2:12" ht="43.2">
      <c r="B594" s="764" t="s">
        <v>210</v>
      </c>
      <c r="C594" s="764" t="s">
        <v>82</v>
      </c>
      <c r="D594" s="764" t="s">
        <v>142</v>
      </c>
      <c r="E594" s="764" t="s">
        <v>156</v>
      </c>
      <c r="F594" s="764" t="s">
        <v>102</v>
      </c>
      <c r="G594" s="764" t="s">
        <v>107</v>
      </c>
      <c r="H594" s="774" cm="1">
        <f t="array" ref="H594">_xlfn.XLOOKUP(E594&amp;G594,'3.5 Uso de productos'!$C$59:$C$90&amp;'3.5 Uso de productos'!$F$59:$F$90,'3.5 Uso de productos'!$G$59:$G$90,"-")</f>
        <v>28</v>
      </c>
      <c r="I594" s="764" t="str" cm="1">
        <f t="array" ref="I594">_xlfn.XLOOKUP(E594&amp;G594,'3.5 Uso de productos'!$C$59:$C$90&amp;'3.5 Uso de productos'!$F$59:$F$90,'3.5 Uso de productos'!$H$59:$H$90,"-")</f>
        <v>kgCO2e/kilogramos</v>
      </c>
      <c r="J594" s="764" t="str" cm="1">
        <f t="array" ref="J594">_xlfn.XLOOKUP(E594&amp;G594,'3.5 Uso de productos'!$C$59:$C$90&amp;'3.5 Uso de productos'!$F$59:$F$90,'3.5 Uso de productos'!$I$59:$I$90,"-")</f>
        <v>IPCC 2006 (vol3; chapter 7) , Table 7.8 | IPCC 2012 (AR5; chapter 8), Table 8.A.1</v>
      </c>
      <c r="K594" s="764" t="s">
        <v>102</v>
      </c>
      <c r="L594" s="768" t="s">
        <v>102</v>
      </c>
    </row>
    <row r="595" spans="2:12" ht="43.2">
      <c r="B595" s="764" t="s">
        <v>210</v>
      </c>
      <c r="C595" s="764" t="s">
        <v>82</v>
      </c>
      <c r="D595" s="764" t="s">
        <v>142</v>
      </c>
      <c r="E595" s="764" t="s">
        <v>157</v>
      </c>
      <c r="F595" s="764" t="s">
        <v>102</v>
      </c>
      <c r="G595" s="764" t="s">
        <v>107</v>
      </c>
      <c r="H595" s="774" cm="1">
        <f t="array" ref="H595">_xlfn.XLOOKUP(E595&amp;G595,'3.5 Uso de productos'!$C$59:$C$90&amp;'3.5 Uso de productos'!$F$59:$F$90,'3.5 Uso de productos'!$G$59:$G$90,"-")</f>
        <v>16100</v>
      </c>
      <c r="I595" s="764" t="str" cm="1">
        <f t="array" ref="I595">_xlfn.XLOOKUP(E595&amp;G595,'3.5 Uso de productos'!$C$59:$C$90&amp;'3.5 Uso de productos'!$F$59:$F$90,'3.5 Uso de productos'!$H$59:$H$90,"-")</f>
        <v>kgCO2e/kilogramos</v>
      </c>
      <c r="J595" s="764" t="str" cm="1">
        <f t="array" ref="J595">_xlfn.XLOOKUP(E595&amp;G595,'3.5 Uso de productos'!$C$59:$C$90&amp;'3.5 Uso de productos'!$F$59:$F$90,'3.5 Uso de productos'!$I$59:$I$90,"-")</f>
        <v>IPCC 2006 (vol3; chapter 7) , Table 7.8 | IPCC 2012 (AR5; chapter 8), Table 8.A.1</v>
      </c>
      <c r="K595" s="764" t="s">
        <v>102</v>
      </c>
      <c r="L595" s="768" t="s">
        <v>102</v>
      </c>
    </row>
    <row r="596" spans="2:12" ht="43.2">
      <c r="B596" s="764" t="s">
        <v>210</v>
      </c>
      <c r="C596" s="764" t="s">
        <v>82</v>
      </c>
      <c r="D596" s="764" t="s">
        <v>142</v>
      </c>
      <c r="E596" s="764" t="s">
        <v>158</v>
      </c>
      <c r="F596" s="764" t="s">
        <v>102</v>
      </c>
      <c r="G596" s="764" t="s">
        <v>107</v>
      </c>
      <c r="H596" s="774" cm="1">
        <f t="array" ref="H596">_xlfn.XLOOKUP(E596&amp;G596,'3.5 Uso de productos'!$C$59:$C$90&amp;'3.5 Uso de productos'!$F$59:$F$90,'3.5 Uso de productos'!$G$59:$G$90,"-")</f>
        <v>3942.8</v>
      </c>
      <c r="I596" s="764" t="str" cm="1">
        <f t="array" ref="I596">_xlfn.XLOOKUP(E596&amp;G596,'3.5 Uso de productos'!$C$59:$C$90&amp;'3.5 Uso de productos'!$F$59:$F$90,'3.5 Uso de productos'!$H$59:$H$90,"-")</f>
        <v>kgCO2e/kilogramos</v>
      </c>
      <c r="J596" s="764" t="str" cm="1">
        <f t="array" ref="J596">_xlfn.XLOOKUP(E596&amp;G596,'3.5 Uso de productos'!$C$59:$C$90&amp;'3.5 Uso de productos'!$F$59:$F$90,'3.5 Uso de productos'!$I$59:$I$90,"-")</f>
        <v>IPCC 2006 (vol3; chapter 7) , Table 7.8 | IPCC 2012 (AR5; chapter 8), Table 8.A.1</v>
      </c>
      <c r="K596" s="764" t="s">
        <v>102</v>
      </c>
      <c r="L596" s="768" t="s">
        <v>102</v>
      </c>
    </row>
    <row r="597" spans="2:12" ht="43.2">
      <c r="B597" s="764" t="s">
        <v>210</v>
      </c>
      <c r="C597" s="764" t="s">
        <v>82</v>
      </c>
      <c r="D597" s="764" t="s">
        <v>142</v>
      </c>
      <c r="E597" s="764" t="s">
        <v>159</v>
      </c>
      <c r="F597" s="764" t="s">
        <v>102</v>
      </c>
      <c r="G597" s="764" t="s">
        <v>107</v>
      </c>
      <c r="H597" s="774" cm="1">
        <f t="array" ref="H597">_xlfn.XLOOKUP(E597&amp;G597,'3.5 Uso de productos'!$C$59:$C$90&amp;'3.5 Uso de productos'!$F$59:$F$90,'3.5 Uso de productos'!$G$59:$G$90,"-")</f>
        <v>1923.4</v>
      </c>
      <c r="I597" s="764" t="str" cm="1">
        <f t="array" ref="I597">_xlfn.XLOOKUP(E597&amp;G597,'3.5 Uso de productos'!$C$59:$C$90&amp;'3.5 Uso de productos'!$F$59:$F$90,'3.5 Uso de productos'!$H$59:$H$90,"-")</f>
        <v>kgCO2e/kilogramos</v>
      </c>
      <c r="J597" s="764" t="str" cm="1">
        <f t="array" ref="J597">_xlfn.XLOOKUP(E597&amp;G597,'3.5 Uso de productos'!$C$59:$C$90&amp;'3.5 Uso de productos'!$F$59:$F$90,'3.5 Uso de productos'!$I$59:$I$90,"-")</f>
        <v>IPCC 2006 (vol3; chapter 7) , Table 7.8 | IPCC 2012 (AR5; chapter 8), Table 8.A.1</v>
      </c>
      <c r="K597" s="764" t="s">
        <v>102</v>
      </c>
      <c r="L597" s="768" t="s">
        <v>102</v>
      </c>
    </row>
    <row r="598" spans="2:12" ht="43.2">
      <c r="B598" s="764" t="s">
        <v>210</v>
      </c>
      <c r="C598" s="764" t="s">
        <v>82</v>
      </c>
      <c r="D598" s="764" t="s">
        <v>142</v>
      </c>
      <c r="E598" s="764" t="s">
        <v>160</v>
      </c>
      <c r="F598" s="764" t="s">
        <v>102</v>
      </c>
      <c r="G598" s="764" t="s">
        <v>107</v>
      </c>
      <c r="H598" s="774" cm="1">
        <f t="array" ref="H598">_xlfn.XLOOKUP(E598&amp;G598,'3.5 Uso de productos'!$C$59:$C$90&amp;'3.5 Uso de productos'!$F$59:$F$90,'3.5 Uso de productos'!$G$59:$G$90,"-")</f>
        <v>2546.6999999999998</v>
      </c>
      <c r="I598" s="764" t="str" cm="1">
        <f t="array" ref="I598">_xlfn.XLOOKUP(E598&amp;G598,'3.5 Uso de productos'!$C$59:$C$90&amp;'3.5 Uso de productos'!$F$59:$F$90,'3.5 Uso de productos'!$H$59:$H$90,"-")</f>
        <v>kgCO2e/kilogramos</v>
      </c>
      <c r="J598" s="764" t="str" cm="1">
        <f t="array" ref="J598">_xlfn.XLOOKUP(E598&amp;G598,'3.5 Uso de productos'!$C$59:$C$90&amp;'3.5 Uso de productos'!$F$59:$F$90,'3.5 Uso de productos'!$I$59:$I$90,"-")</f>
        <v>IPCC 2006 (vol3; chapter 7) , Table 7.8 | IPCC 2012 (AR5; chapter 8), Table 8.A.1</v>
      </c>
      <c r="K598" s="764" t="s">
        <v>102</v>
      </c>
      <c r="L598" s="768" t="s">
        <v>102</v>
      </c>
    </row>
    <row r="599" spans="2:12" ht="43.2">
      <c r="B599" s="764" t="s">
        <v>210</v>
      </c>
      <c r="C599" s="764" t="s">
        <v>82</v>
      </c>
      <c r="D599" s="764" t="s">
        <v>142</v>
      </c>
      <c r="E599" s="764" t="s">
        <v>161</v>
      </c>
      <c r="F599" s="764" t="s">
        <v>102</v>
      </c>
      <c r="G599" s="764" t="s">
        <v>107</v>
      </c>
      <c r="H599" s="774" cm="1">
        <f t="array" ref="H599">_xlfn.XLOOKUP(E599&amp;G599,'3.5 Uso de productos'!$C$59:$C$90&amp;'3.5 Uso de productos'!$F$59:$F$90,'3.5 Uso de productos'!$G$59:$G$90,"-")</f>
        <v>1624.21</v>
      </c>
      <c r="I599" s="764" t="str" cm="1">
        <f t="array" ref="I599">_xlfn.XLOOKUP(E599&amp;G599,'3.5 Uso de productos'!$C$59:$C$90&amp;'3.5 Uso de productos'!$F$59:$F$90,'3.5 Uso de productos'!$H$59:$H$90,"-")</f>
        <v>kgCO2e/kilogramos</v>
      </c>
      <c r="J599" s="764" t="str" cm="1">
        <f t="array" ref="J599">_xlfn.XLOOKUP(E599&amp;G599,'3.5 Uso de productos'!$C$59:$C$90&amp;'3.5 Uso de productos'!$F$59:$F$90,'3.5 Uso de productos'!$I$59:$I$90,"-")</f>
        <v>IPCC 2006 (vol3; chapter 7) , Table 7.8 | IPCC 2012 (AR5; chapter 8), Table 8.A.1</v>
      </c>
      <c r="K599" s="764" t="s">
        <v>102</v>
      </c>
      <c r="L599" s="768" t="s">
        <v>102</v>
      </c>
    </row>
    <row r="600" spans="2:12" ht="43.2">
      <c r="B600" s="764" t="s">
        <v>210</v>
      </c>
      <c r="C600" s="764" t="s">
        <v>82</v>
      </c>
      <c r="D600" s="764" t="s">
        <v>142</v>
      </c>
      <c r="E600" s="764" t="s">
        <v>162</v>
      </c>
      <c r="F600" s="764" t="s">
        <v>102</v>
      </c>
      <c r="G600" s="764" t="s">
        <v>107</v>
      </c>
      <c r="H600" s="774" cm="1">
        <f t="array" ref="H600">_xlfn.XLOOKUP(E600&amp;G600,'3.5 Uso de productos'!$C$59:$C$90&amp;'3.5 Uso de productos'!$F$59:$F$90,'3.5 Uso de productos'!$G$59:$G$90,"-")</f>
        <v>1923.5</v>
      </c>
      <c r="I600" s="764" t="str" cm="1">
        <f t="array" ref="I600">_xlfn.XLOOKUP(E600&amp;G600,'3.5 Uso de productos'!$C$59:$C$90&amp;'3.5 Uso de productos'!$F$59:$F$90,'3.5 Uso de productos'!$H$59:$H$90,"-")</f>
        <v>kgCO2e/kilogramos</v>
      </c>
      <c r="J600" s="764" t="str" cm="1">
        <f t="array" ref="J600">_xlfn.XLOOKUP(E600&amp;G600,'3.5 Uso de productos'!$C$59:$C$90&amp;'3.5 Uso de productos'!$F$59:$F$90,'3.5 Uso de productos'!$I$59:$I$90,"-")</f>
        <v>IPCC 2006 (vol3; chapter 7) , Table 7.8 | IPCC 2012 (AR5; chapter 8), Table 8.A.1</v>
      </c>
      <c r="K600" s="764" t="s">
        <v>102</v>
      </c>
      <c r="L600" s="768" t="s">
        <v>102</v>
      </c>
    </row>
    <row r="601" spans="2:12" ht="43.2">
      <c r="B601" s="764" t="s">
        <v>210</v>
      </c>
      <c r="C601" s="764" t="s">
        <v>82</v>
      </c>
      <c r="D601" s="764" t="s">
        <v>142</v>
      </c>
      <c r="E601" s="764" t="s">
        <v>163</v>
      </c>
      <c r="F601" s="764" t="s">
        <v>102</v>
      </c>
      <c r="G601" s="764" t="s">
        <v>107</v>
      </c>
      <c r="H601" s="774" cm="1">
        <f t="array" ref="H601">_xlfn.XLOOKUP(E601&amp;G601,'3.5 Uso de productos'!$C$59:$C$90&amp;'3.5 Uso de productos'!$F$59:$F$90,'3.5 Uso de productos'!$G$59:$G$90,"-")</f>
        <v>2048.15</v>
      </c>
      <c r="I601" s="764" t="str" cm="1">
        <f t="array" ref="I601">_xlfn.XLOOKUP(E601&amp;G601,'3.5 Uso de productos'!$C$59:$C$90&amp;'3.5 Uso de productos'!$F$59:$F$90,'3.5 Uso de productos'!$H$59:$H$90,"-")</f>
        <v>kgCO2e/kilogramos</v>
      </c>
      <c r="J601" s="764" t="str" cm="1">
        <f t="array" ref="J601">_xlfn.XLOOKUP(E601&amp;G601,'3.5 Uso de productos'!$C$59:$C$90&amp;'3.5 Uso de productos'!$F$59:$F$90,'3.5 Uso de productos'!$I$59:$I$90,"-")</f>
        <v>IPCC 2006 (vol3; chapter 7) , Table 7.8 | IPCC 2012 (AR5; chapter 8), Table 8.A.1</v>
      </c>
      <c r="K601" s="764" t="s">
        <v>102</v>
      </c>
      <c r="L601" s="768" t="s">
        <v>102</v>
      </c>
    </row>
    <row r="602" spans="2:12" ht="43.2">
      <c r="B602" s="764" t="s">
        <v>210</v>
      </c>
      <c r="C602" s="764" t="s">
        <v>82</v>
      </c>
      <c r="D602" s="764" t="s">
        <v>142</v>
      </c>
      <c r="E602" s="764" t="s">
        <v>164</v>
      </c>
      <c r="F602" s="764" t="s">
        <v>102</v>
      </c>
      <c r="G602" s="764" t="s">
        <v>107</v>
      </c>
      <c r="H602" s="774" cm="1">
        <f t="array" ref="H602">_xlfn.XLOOKUP(E602&amp;G602,'3.5 Uso de productos'!$C$59:$C$90&amp;'3.5 Uso de productos'!$F$59:$F$90,'3.5 Uso de productos'!$G$59:$G$90,"-")</f>
        <v>1120</v>
      </c>
      <c r="I602" s="764" t="str" cm="1">
        <f t="array" ref="I602">_xlfn.XLOOKUP(E602&amp;G602,'3.5 Uso de productos'!$C$59:$C$90&amp;'3.5 Uso de productos'!$F$59:$F$90,'3.5 Uso de productos'!$H$59:$H$90,"-")</f>
        <v>kgCO2e/kilogramos</v>
      </c>
      <c r="J602" s="764" t="str" cm="1">
        <f t="array" ref="J602">_xlfn.XLOOKUP(E602&amp;G602,'3.5 Uso de productos'!$C$59:$C$90&amp;'3.5 Uso de productos'!$F$59:$F$90,'3.5 Uso de productos'!$I$59:$I$90,"-")</f>
        <v>IPCC 2006 (vol3; chapter 7) , Table 7.8 | IPCC 2012 (AR5; chapter 8), Table 8.A.1</v>
      </c>
      <c r="K602" s="764" t="s">
        <v>102</v>
      </c>
      <c r="L602" s="768" t="s">
        <v>102</v>
      </c>
    </row>
    <row r="603" spans="2:12" ht="43.2">
      <c r="B603" s="764" t="s">
        <v>210</v>
      </c>
      <c r="C603" s="764" t="s">
        <v>82</v>
      </c>
      <c r="D603" s="764" t="s">
        <v>142</v>
      </c>
      <c r="E603" s="764" t="s">
        <v>165</v>
      </c>
      <c r="F603" s="764" t="s">
        <v>102</v>
      </c>
      <c r="G603" s="764" t="s">
        <v>107</v>
      </c>
      <c r="H603" s="774" cm="1">
        <f t="array" ref="H603">_xlfn.XLOOKUP(E603&amp;G603,'3.5 Uso de productos'!$C$59:$C$90&amp;'3.5 Uso de productos'!$F$59:$F$90,'3.5 Uso de productos'!$G$59:$G$90,"-")</f>
        <v>3985</v>
      </c>
      <c r="I603" s="764" t="str" cm="1">
        <f t="array" ref="I603">_xlfn.XLOOKUP(E603&amp;G603,'3.5 Uso de productos'!$C$59:$C$90&amp;'3.5 Uso de productos'!$F$59:$F$90,'3.5 Uso de productos'!$H$59:$H$90,"-")</f>
        <v>kgCO2e/kilogramos</v>
      </c>
      <c r="J603" s="764" t="str" cm="1">
        <f t="array" ref="J603">_xlfn.XLOOKUP(E603&amp;G603,'3.5 Uso de productos'!$C$59:$C$90&amp;'3.5 Uso de productos'!$F$59:$F$90,'3.5 Uso de productos'!$I$59:$I$90,"-")</f>
        <v>IPCC 2006 (vol3; chapter 7) , Table 7.8 | IPCC 2012 (AR5; chapter 8), Table 8.A.1</v>
      </c>
      <c r="K603" s="764" t="s">
        <v>102</v>
      </c>
      <c r="L603" s="768" t="s">
        <v>102</v>
      </c>
    </row>
    <row r="604" spans="2:12" ht="43.2">
      <c r="B604" s="764" t="s">
        <v>210</v>
      </c>
      <c r="C604" s="764" t="s">
        <v>82</v>
      </c>
      <c r="D604" s="764" t="s">
        <v>142</v>
      </c>
      <c r="E604" s="764" t="s">
        <v>166</v>
      </c>
      <c r="F604" s="764" t="s">
        <v>102</v>
      </c>
      <c r="G604" s="764" t="s">
        <v>107</v>
      </c>
      <c r="H604" s="774" cm="1">
        <f t="array" ref="H604">_xlfn.XLOOKUP(E604&amp;G604,'3.5 Uso de productos'!$C$59:$C$90&amp;'3.5 Uso de productos'!$F$59:$F$90,'3.5 Uso de productos'!$G$59:$G$90,"-")</f>
        <v>11607</v>
      </c>
      <c r="I604" s="764" t="str" cm="1">
        <f t="array" ref="I604">_xlfn.XLOOKUP(E604&amp;G604,'3.5 Uso de productos'!$C$59:$C$90&amp;'3.5 Uso de productos'!$F$59:$F$90,'3.5 Uso de productos'!$H$59:$H$90,"-")</f>
        <v>kgCO2e/kilogramos</v>
      </c>
      <c r="J604" s="764" t="str" cm="1">
        <f t="array" ref="J604">_xlfn.XLOOKUP(E604&amp;G604,'3.5 Uso de productos'!$C$59:$C$90&amp;'3.5 Uso de productos'!$F$59:$F$90,'3.5 Uso de productos'!$I$59:$I$90,"-")</f>
        <v>IPCC 2006 (vol3; chapter 7) , Table 7.8 | IPCC 2012 (AR5; chapter 8), Table 8.A.1</v>
      </c>
      <c r="K604" s="764" t="s">
        <v>102</v>
      </c>
      <c r="L604" s="768" t="s">
        <v>102</v>
      </c>
    </row>
    <row r="605" spans="2:12" ht="43.2">
      <c r="B605" s="764" t="s">
        <v>210</v>
      </c>
      <c r="C605" s="764" t="s">
        <v>82</v>
      </c>
      <c r="D605" s="764" t="s">
        <v>142</v>
      </c>
      <c r="E605" s="764" t="s">
        <v>167</v>
      </c>
      <c r="F605" s="764" t="s">
        <v>102</v>
      </c>
      <c r="G605" s="764" t="s">
        <v>107</v>
      </c>
      <c r="H605" s="774" cm="1">
        <f t="array" ref="H605">_xlfn.XLOOKUP(E605&amp;G605,'3.5 Uso de productos'!$C$59:$C$90&amp;'3.5 Uso de productos'!$F$59:$F$90,'3.5 Uso de productos'!$G$59:$G$90,"-")</f>
        <v>11698</v>
      </c>
      <c r="I605" s="764" t="str" cm="1">
        <f t="array" ref="I605">_xlfn.XLOOKUP(E605&amp;G605,'3.5 Uso de productos'!$C$59:$C$90&amp;'3.5 Uso de productos'!$F$59:$F$90,'3.5 Uso de productos'!$H$59:$H$90,"-")</f>
        <v>kgCO2e/kilogramos</v>
      </c>
      <c r="J605" s="764" t="str" cm="1">
        <f t="array" ref="J605">_xlfn.XLOOKUP(E605&amp;G605,'3.5 Uso de productos'!$C$59:$C$90&amp;'3.5 Uso de productos'!$F$59:$F$90,'3.5 Uso de productos'!$I$59:$I$90,"-")</f>
        <v>IPCC 2006 (vol3; chapter 7) , Table 7.8 | IPCC 2012 (AR5; chapter 8), Table 8.A.1</v>
      </c>
      <c r="K605" s="764" t="s">
        <v>102</v>
      </c>
      <c r="L605" s="768" t="s">
        <v>102</v>
      </c>
    </row>
    <row r="606" spans="2:12" ht="43.2">
      <c r="B606" s="764" t="s">
        <v>210</v>
      </c>
      <c r="C606" s="764" t="s">
        <v>82</v>
      </c>
      <c r="D606" s="764" t="s">
        <v>142</v>
      </c>
      <c r="E606" s="764" t="s">
        <v>169</v>
      </c>
      <c r="F606" s="764" t="s">
        <v>102</v>
      </c>
      <c r="G606" s="764" t="s">
        <v>107</v>
      </c>
      <c r="H606" s="774" cm="1">
        <f t="array" ref="H606">_xlfn.XLOOKUP(E606&amp;G606,'3.5 Uso de productos'!$C$59:$C$90&amp;'3.5 Uso de productos'!$F$59:$F$90,'3.5 Uso de productos'!$G$59:$G$90,"-")</f>
        <v>1300</v>
      </c>
      <c r="I606" s="764" t="str" cm="1">
        <f t="array" ref="I606">_xlfn.XLOOKUP(E606&amp;G606,'3.5 Uso de productos'!$C$59:$C$90&amp;'3.5 Uso de productos'!$F$59:$F$90,'3.5 Uso de productos'!$H$59:$H$90,"-")</f>
        <v>kgCO2e/kilogramos</v>
      </c>
      <c r="J606" s="764" t="str" cm="1">
        <f t="array" ref="J606">_xlfn.XLOOKUP(E606&amp;G606,'3.5 Uso de productos'!$C$59:$C$90&amp;'3.5 Uso de productos'!$F$59:$F$90,'3.5 Uso de productos'!$I$59:$I$90,"-")</f>
        <v>IPCC 2006 (vol3; chapter 7) , Table 7.8 | IPCC 2012 (AR5; chapter 8), Table 8.A.1</v>
      </c>
      <c r="K606" s="764" t="s">
        <v>102</v>
      </c>
      <c r="L606" s="768" t="s">
        <v>102</v>
      </c>
    </row>
    <row r="607" spans="2:12" ht="28.8">
      <c r="B607" s="764" t="s">
        <v>210</v>
      </c>
      <c r="C607" s="764" t="s">
        <v>84</v>
      </c>
      <c r="D607" s="764" t="s">
        <v>319</v>
      </c>
      <c r="E607" s="764" t="s">
        <v>320</v>
      </c>
      <c r="F607" s="764" t="s">
        <v>102</v>
      </c>
      <c r="G607" s="764" t="s">
        <v>106</v>
      </c>
      <c r="H607" s="765" cm="1">
        <f t="array" ref="H607">_xlfn.XLOOKUP(D607&amp;E607&amp;G607,'3.6 Trat. yo disp. de residuos'!$B$7:$B$78&amp;'3.6 Trat. yo disp. de residuos'!$C$7:$C$78&amp;'3.6 Trat. yo disp. de residuos'!$E$7:$E$78,'3.6 Trat. yo disp. de residuos'!$F$7:$F$78,"-")</f>
        <v>0.98485</v>
      </c>
      <c r="I607" s="764" t="str" cm="1">
        <f t="array" ref="I607">_xlfn.XLOOKUP(D607&amp;E607&amp;G607,'3.6 Trat. yo disp. de residuos'!$B$7:$B$78&amp;'3.6 Trat. yo disp. de residuos'!$C$7:$C$78&amp;'3.6 Trat. yo disp. de residuos'!$E$7:$E$78,'3.6 Trat. yo disp. de residuos'!$G$7:$G$78,"-")</f>
        <v>kgCO2e/toneladas</v>
      </c>
      <c r="J607" s="764" t="str" cm="1">
        <f t="array" ref="J607">_xlfn.XLOOKUP(D607&amp;E607&amp;G607,'3.6 Trat. yo disp. de residuos'!$B$7:$B$78&amp;'3.6 Trat. yo disp. de residuos'!$C$7:$C$78&amp;'3.6 Trat. yo disp. de residuos'!$E$7:$E$78,'3.6 Trat. yo disp. de residuos'!$H$7:$H$78,"-")</f>
        <v>DEFRA 2024, Waste disposal</v>
      </c>
      <c r="K607" s="764" t="s">
        <v>102</v>
      </c>
      <c r="L607" s="768" t="s">
        <v>102</v>
      </c>
    </row>
    <row r="608" spans="2:12" ht="28.8">
      <c r="B608" s="764" t="s">
        <v>210</v>
      </c>
      <c r="C608" s="764" t="s">
        <v>84</v>
      </c>
      <c r="D608" s="764" t="s">
        <v>319</v>
      </c>
      <c r="E608" s="764" t="s">
        <v>320</v>
      </c>
      <c r="F608" s="764" t="s">
        <v>102</v>
      </c>
      <c r="G608" s="764" t="s">
        <v>107</v>
      </c>
      <c r="H608" s="772" cm="1">
        <f t="array" ref="H608">_xlfn.XLOOKUP(D608&amp;E608&amp;G608,'3.6 Trat. yo disp. de residuos'!$B$7:$B$78&amp;'3.6 Trat. yo disp. de residuos'!$C$7:$C$78&amp;'3.6 Trat. yo disp. de residuos'!$E$7:$E$78,'3.6 Trat. yo disp. de residuos'!$F$7:$F$78,"-")</f>
        <v>9.8485E-4</v>
      </c>
      <c r="I608" s="764" t="str" cm="1">
        <f t="array" ref="I608">_xlfn.XLOOKUP(D608&amp;E608&amp;G608,'3.6 Trat. yo disp. de residuos'!$B$7:$B$78&amp;'3.6 Trat. yo disp. de residuos'!$C$7:$C$78&amp;'3.6 Trat. yo disp. de residuos'!$E$7:$E$78,'3.6 Trat. yo disp. de residuos'!$G$7:$G$78,"-")</f>
        <v>kgCO2e/kilogramos</v>
      </c>
      <c r="J608" s="764" t="str" cm="1">
        <f t="array" ref="J608">_xlfn.XLOOKUP(D608&amp;E608&amp;G608,'3.6 Trat. yo disp. de residuos'!$B$7:$B$78&amp;'3.6 Trat. yo disp. de residuos'!$C$7:$C$78&amp;'3.6 Trat. yo disp. de residuos'!$E$7:$E$78,'3.6 Trat. yo disp. de residuos'!$H$7:$H$78,"-")</f>
        <v>DEFRA 2024, Waste disposal</v>
      </c>
      <c r="K608" s="764" t="s">
        <v>102</v>
      </c>
      <c r="L608" s="768" t="s">
        <v>102</v>
      </c>
    </row>
    <row r="609" spans="2:12" ht="28.8">
      <c r="B609" s="764" t="s">
        <v>210</v>
      </c>
      <c r="C609" s="764" t="s">
        <v>84</v>
      </c>
      <c r="D609" s="764" t="s">
        <v>319</v>
      </c>
      <c r="E609" s="764" t="s">
        <v>320</v>
      </c>
      <c r="F609" s="764" t="s">
        <v>102</v>
      </c>
      <c r="G609" s="764" t="s">
        <v>108</v>
      </c>
      <c r="H609" s="776" cm="1">
        <f t="array" ref="H609">_xlfn.XLOOKUP(D609&amp;E609&amp;G609,'3.6 Trat. yo disp. de residuos'!$B$7:$B$78&amp;'3.6 Trat. yo disp. de residuos'!$C$7:$C$78&amp;'3.6 Trat. yo disp. de residuos'!$E$7:$E$78,'3.6 Trat. yo disp. de residuos'!$F$7:$F$78,"-")</f>
        <v>9.8484999999999998E-7</v>
      </c>
      <c r="I609" s="764" t="str" cm="1">
        <f t="array" ref="I609">_xlfn.XLOOKUP(D609&amp;E609&amp;G609,'3.6 Trat. yo disp. de residuos'!$B$7:$B$78&amp;'3.6 Trat. yo disp. de residuos'!$C$7:$C$78&amp;'3.6 Trat. yo disp. de residuos'!$E$7:$E$78,'3.6 Trat. yo disp. de residuos'!$G$7:$G$78,"-")</f>
        <v>kgCO2e/gramos</v>
      </c>
      <c r="J609" s="764" t="str" cm="1">
        <f t="array" ref="J609">_xlfn.XLOOKUP(D609&amp;E609&amp;G609,'3.6 Trat. yo disp. de residuos'!$B$7:$B$78&amp;'3.6 Trat. yo disp. de residuos'!$C$7:$C$78&amp;'3.6 Trat. yo disp. de residuos'!$E$7:$E$78,'3.6 Trat. yo disp. de residuos'!$H$7:$H$78,"-")</f>
        <v>DEFRA 2024, Waste disposal</v>
      </c>
      <c r="K609" s="764" t="s">
        <v>102</v>
      </c>
      <c r="L609" s="768" t="s">
        <v>102</v>
      </c>
    </row>
    <row r="610" spans="2:12" ht="28.8">
      <c r="B610" s="764" t="s">
        <v>210</v>
      </c>
      <c r="C610" s="764" t="s">
        <v>84</v>
      </c>
      <c r="D610" s="764" t="s">
        <v>319</v>
      </c>
      <c r="E610" s="764" t="s">
        <v>321</v>
      </c>
      <c r="F610" s="764" t="s">
        <v>102</v>
      </c>
      <c r="G610" s="764" t="s">
        <v>106</v>
      </c>
      <c r="H610" s="765" cm="1">
        <f t="array" ref="H610">_xlfn.XLOOKUP(D610&amp;E610&amp;G610,'3.6 Trat. yo disp. de residuos'!$B$7:$B$78&amp;'3.6 Trat. yo disp. de residuos'!$C$7:$C$78&amp;'3.6 Trat. yo disp. de residuos'!$E$7:$E$78,'3.6 Trat. yo disp. de residuos'!$F$7:$F$78,"-")</f>
        <v>6.4106100000000001</v>
      </c>
      <c r="I610" s="764" t="str" cm="1">
        <f t="array" ref="I610">_xlfn.XLOOKUP(D610&amp;E610&amp;G610,'3.6 Trat. yo disp. de residuos'!$B$7:$B$78&amp;'3.6 Trat. yo disp. de residuos'!$C$7:$C$78&amp;'3.6 Trat. yo disp. de residuos'!$E$7:$E$78,'3.6 Trat. yo disp. de residuos'!$G$7:$G$78,"-")</f>
        <v>kgCO2e/toneladas</v>
      </c>
      <c r="J610" s="764" t="str" cm="1">
        <f t="array" ref="J610">_xlfn.XLOOKUP(D610&amp;E610&amp;G610,'3.6 Trat. yo disp. de residuos'!$B$7:$B$78&amp;'3.6 Trat. yo disp. de residuos'!$C$7:$C$78&amp;'3.6 Trat. yo disp. de residuos'!$E$7:$E$78,'3.6 Trat. yo disp. de residuos'!$H$7:$H$78,"-")</f>
        <v>DEFRA 2024, Waste disposal</v>
      </c>
      <c r="K610" s="764" t="s">
        <v>102</v>
      </c>
      <c r="L610" s="768" t="s">
        <v>102</v>
      </c>
    </row>
    <row r="611" spans="2:12" ht="28.8">
      <c r="B611" s="764" t="s">
        <v>210</v>
      </c>
      <c r="C611" s="764" t="s">
        <v>84</v>
      </c>
      <c r="D611" s="764" t="s">
        <v>319</v>
      </c>
      <c r="E611" s="764" t="s">
        <v>321</v>
      </c>
      <c r="F611" s="764" t="s">
        <v>102</v>
      </c>
      <c r="G611" s="764" t="s">
        <v>107</v>
      </c>
      <c r="H611" s="769" cm="1">
        <f t="array" ref="H611">_xlfn.XLOOKUP(D611&amp;E611&amp;G611,'3.6 Trat. yo disp. de residuos'!$B$7:$B$78&amp;'3.6 Trat. yo disp. de residuos'!$C$7:$C$78&amp;'3.6 Trat. yo disp. de residuos'!$E$7:$E$78,'3.6 Trat. yo disp. de residuos'!$F$7:$F$78,"-")</f>
        <v>6.4106099999999997E-3</v>
      </c>
      <c r="I611" s="764" t="str" cm="1">
        <f t="array" ref="I611">_xlfn.XLOOKUP(D611&amp;E611&amp;G611,'3.6 Trat. yo disp. de residuos'!$B$7:$B$78&amp;'3.6 Trat. yo disp. de residuos'!$C$7:$C$78&amp;'3.6 Trat. yo disp. de residuos'!$E$7:$E$78,'3.6 Trat. yo disp. de residuos'!$G$7:$G$78,"-")</f>
        <v>kgCO2e/kilogramos</v>
      </c>
      <c r="J611" s="764" t="str" cm="1">
        <f t="array" ref="J611">_xlfn.XLOOKUP(D611&amp;E611&amp;G611,'3.6 Trat. yo disp. de residuos'!$B$7:$B$78&amp;'3.6 Trat. yo disp. de residuos'!$C$7:$C$78&amp;'3.6 Trat. yo disp. de residuos'!$E$7:$E$78,'3.6 Trat. yo disp. de residuos'!$H$7:$H$78,"-")</f>
        <v>DEFRA 2024, Waste disposal</v>
      </c>
      <c r="K611" s="764" t="s">
        <v>102</v>
      </c>
      <c r="L611" s="768" t="s">
        <v>102</v>
      </c>
    </row>
    <row r="612" spans="2:12" ht="28.8">
      <c r="B612" s="764" t="s">
        <v>210</v>
      </c>
      <c r="C612" s="764" t="s">
        <v>84</v>
      </c>
      <c r="D612" s="764" t="s">
        <v>319</v>
      </c>
      <c r="E612" s="764" t="s">
        <v>321</v>
      </c>
      <c r="F612" s="764" t="s">
        <v>102</v>
      </c>
      <c r="G612" s="764" t="s">
        <v>108</v>
      </c>
      <c r="H612" s="776" cm="1">
        <f t="array" ref="H612">_xlfn.XLOOKUP(D612&amp;E612&amp;G612,'3.6 Trat. yo disp. de residuos'!$B$7:$B$78&amp;'3.6 Trat. yo disp. de residuos'!$C$7:$C$78&amp;'3.6 Trat. yo disp. de residuos'!$E$7:$E$78,'3.6 Trat. yo disp. de residuos'!$F$7:$F$78,"-")</f>
        <v>6.4106099999999999E-6</v>
      </c>
      <c r="I612" s="764" t="str" cm="1">
        <f t="array" ref="I612">_xlfn.XLOOKUP(D612&amp;E612&amp;G612,'3.6 Trat. yo disp. de residuos'!$B$7:$B$78&amp;'3.6 Trat. yo disp. de residuos'!$C$7:$C$78&amp;'3.6 Trat. yo disp. de residuos'!$E$7:$E$78,'3.6 Trat. yo disp. de residuos'!$G$7:$G$78,"-")</f>
        <v>kgCO2e/gramos</v>
      </c>
      <c r="J612" s="764" t="str" cm="1">
        <f t="array" ref="J612">_xlfn.XLOOKUP(D612&amp;E612&amp;G612,'3.6 Trat. yo disp. de residuos'!$B$7:$B$78&amp;'3.6 Trat. yo disp. de residuos'!$C$7:$C$78&amp;'3.6 Trat. yo disp. de residuos'!$E$7:$E$78,'3.6 Trat. yo disp. de residuos'!$H$7:$H$78,"-")</f>
        <v>DEFRA 2024, Waste disposal</v>
      </c>
      <c r="K612" s="764" t="s">
        <v>102</v>
      </c>
      <c r="L612" s="768" t="s">
        <v>102</v>
      </c>
    </row>
    <row r="613" spans="2:12" ht="28.8">
      <c r="B613" s="764" t="s">
        <v>210</v>
      </c>
      <c r="C613" s="764" t="s">
        <v>84</v>
      </c>
      <c r="D613" s="764" t="s">
        <v>319</v>
      </c>
      <c r="E613" s="764" t="s">
        <v>322</v>
      </c>
      <c r="F613" s="764" t="s">
        <v>102</v>
      </c>
      <c r="G613" s="764" t="s">
        <v>106</v>
      </c>
      <c r="H613" s="765" cm="1">
        <f t="array" ref="H613">_xlfn.XLOOKUP(D613&amp;E613&amp;G613,'3.6 Trat. yo disp. de residuos'!$B$7:$B$78&amp;'3.6 Trat. yo disp. de residuos'!$C$7:$C$78&amp;'3.6 Trat. yo disp. de residuos'!$E$7:$E$78,'3.6 Trat. yo disp. de residuos'!$F$7:$F$78,"-")</f>
        <v>6.4106100000000001</v>
      </c>
      <c r="I613" s="764" t="str" cm="1">
        <f t="array" ref="I613">_xlfn.XLOOKUP(D613&amp;E613&amp;G613,'3.6 Trat. yo disp. de residuos'!$B$7:$B$78&amp;'3.6 Trat. yo disp. de residuos'!$C$7:$C$78&amp;'3.6 Trat. yo disp. de residuos'!$E$7:$E$78,'3.6 Trat. yo disp. de residuos'!$G$7:$G$78,"-")</f>
        <v>kgCO2e/toneladas</v>
      </c>
      <c r="J613" s="764" t="str" cm="1">
        <f t="array" ref="J613">_xlfn.XLOOKUP(D613&amp;E613&amp;G613,'3.6 Trat. yo disp. de residuos'!$B$7:$B$78&amp;'3.6 Trat. yo disp. de residuos'!$C$7:$C$78&amp;'3.6 Trat. yo disp. de residuos'!$E$7:$E$78,'3.6 Trat. yo disp. de residuos'!$H$7:$H$78,"-")</f>
        <v>DEFRA 2024, Waste disposal</v>
      </c>
      <c r="K613" s="764" t="s">
        <v>102</v>
      </c>
      <c r="L613" s="768" t="s">
        <v>102</v>
      </c>
    </row>
    <row r="614" spans="2:12" ht="28.8">
      <c r="B614" s="764" t="s">
        <v>210</v>
      </c>
      <c r="C614" s="764" t="s">
        <v>84</v>
      </c>
      <c r="D614" s="764" t="s">
        <v>319</v>
      </c>
      <c r="E614" s="764" t="s">
        <v>322</v>
      </c>
      <c r="F614" s="764" t="s">
        <v>102</v>
      </c>
      <c r="G614" s="764" t="s">
        <v>107</v>
      </c>
      <c r="H614" s="769" cm="1">
        <f t="array" ref="H614">_xlfn.XLOOKUP(D614&amp;E614&amp;G614,'3.6 Trat. yo disp. de residuos'!$B$7:$B$78&amp;'3.6 Trat. yo disp. de residuos'!$C$7:$C$78&amp;'3.6 Trat. yo disp. de residuos'!$E$7:$E$78,'3.6 Trat. yo disp. de residuos'!$F$7:$F$78,"-")</f>
        <v>6.4106099999999997E-3</v>
      </c>
      <c r="I614" s="764" t="str" cm="1">
        <f t="array" ref="I614">_xlfn.XLOOKUP(D614&amp;E614&amp;G614,'3.6 Trat. yo disp. de residuos'!$B$7:$B$78&amp;'3.6 Trat. yo disp. de residuos'!$C$7:$C$78&amp;'3.6 Trat. yo disp. de residuos'!$E$7:$E$78,'3.6 Trat. yo disp. de residuos'!$G$7:$G$78,"-")</f>
        <v>kgCO2e/kilogramos</v>
      </c>
      <c r="J614" s="764" t="str" cm="1">
        <f t="array" ref="J614">_xlfn.XLOOKUP(D614&amp;E614&amp;G614,'3.6 Trat. yo disp. de residuos'!$B$7:$B$78&amp;'3.6 Trat. yo disp. de residuos'!$C$7:$C$78&amp;'3.6 Trat. yo disp. de residuos'!$E$7:$E$78,'3.6 Trat. yo disp. de residuos'!$H$7:$H$78,"-")</f>
        <v>DEFRA 2024, Waste disposal</v>
      </c>
      <c r="K614" s="764" t="s">
        <v>102</v>
      </c>
      <c r="L614" s="768" t="s">
        <v>102</v>
      </c>
    </row>
    <row r="615" spans="2:12" ht="28.8">
      <c r="B615" s="764" t="s">
        <v>210</v>
      </c>
      <c r="C615" s="764" t="s">
        <v>84</v>
      </c>
      <c r="D615" s="764" t="s">
        <v>319</v>
      </c>
      <c r="E615" s="764" t="s">
        <v>322</v>
      </c>
      <c r="F615" s="764" t="s">
        <v>102</v>
      </c>
      <c r="G615" s="764" t="s">
        <v>108</v>
      </c>
      <c r="H615" s="776" cm="1">
        <f t="array" ref="H615">_xlfn.XLOOKUP(D615&amp;E615&amp;G615,'3.6 Trat. yo disp. de residuos'!$B$7:$B$78&amp;'3.6 Trat. yo disp. de residuos'!$C$7:$C$78&amp;'3.6 Trat. yo disp. de residuos'!$E$7:$E$78,'3.6 Trat. yo disp. de residuos'!$F$7:$F$78,"-")</f>
        <v>6.4106099999999999E-6</v>
      </c>
      <c r="I615" s="764" t="str" cm="1">
        <f t="array" ref="I615">_xlfn.XLOOKUP(D615&amp;E615&amp;G615,'3.6 Trat. yo disp. de residuos'!$B$7:$B$78&amp;'3.6 Trat. yo disp. de residuos'!$C$7:$C$78&amp;'3.6 Trat. yo disp. de residuos'!$E$7:$E$78,'3.6 Trat. yo disp. de residuos'!$G$7:$G$78,"-")</f>
        <v>kgCO2e/gramos</v>
      </c>
      <c r="J615" s="764" t="str" cm="1">
        <f t="array" ref="J615">_xlfn.XLOOKUP(D615&amp;E615&amp;G615,'3.6 Trat. yo disp. de residuos'!$B$7:$B$78&amp;'3.6 Trat. yo disp. de residuos'!$C$7:$C$78&amp;'3.6 Trat. yo disp. de residuos'!$E$7:$E$78,'3.6 Trat. yo disp. de residuos'!$H$7:$H$78,"-")</f>
        <v>DEFRA 2024, Waste disposal</v>
      </c>
      <c r="K615" s="764" t="s">
        <v>102</v>
      </c>
      <c r="L615" s="768" t="s">
        <v>102</v>
      </c>
    </row>
    <row r="616" spans="2:12" ht="28.8">
      <c r="B616" s="764" t="s">
        <v>210</v>
      </c>
      <c r="C616" s="764" t="s">
        <v>84</v>
      </c>
      <c r="D616" s="764" t="s">
        <v>319</v>
      </c>
      <c r="E616" s="764" t="s">
        <v>323</v>
      </c>
      <c r="F616" s="764" t="s">
        <v>102</v>
      </c>
      <c r="G616" s="764" t="s">
        <v>106</v>
      </c>
      <c r="H616" s="765" cm="1">
        <f t="array" ref="H616">_xlfn.XLOOKUP(D616&amp;E616&amp;G616,'3.6 Trat. yo disp. de residuos'!$B$7:$B$78&amp;'3.6 Trat. yo disp. de residuos'!$C$7:$C$78&amp;'3.6 Trat. yo disp. de residuos'!$E$7:$E$78,'3.6 Trat. yo disp. de residuos'!$F$7:$F$78,"-")</f>
        <v>6.4106100000000001</v>
      </c>
      <c r="I616" s="764" t="str" cm="1">
        <f t="array" ref="I616">_xlfn.XLOOKUP(D616&amp;E616&amp;G616,'3.6 Trat. yo disp. de residuos'!$B$7:$B$78&amp;'3.6 Trat. yo disp. de residuos'!$C$7:$C$78&amp;'3.6 Trat. yo disp. de residuos'!$E$7:$E$78,'3.6 Trat. yo disp. de residuos'!$G$7:$G$78,"-")</f>
        <v>kgCO2e/toneladas</v>
      </c>
      <c r="J616" s="764" t="str" cm="1">
        <f t="array" ref="J616">_xlfn.XLOOKUP(D616&amp;E616&amp;G616,'3.6 Trat. yo disp. de residuos'!$B$7:$B$78&amp;'3.6 Trat. yo disp. de residuos'!$C$7:$C$78&amp;'3.6 Trat. yo disp. de residuos'!$E$7:$E$78,'3.6 Trat. yo disp. de residuos'!$H$7:$H$78,"-")</f>
        <v>DEFRA 2024, Waste disposal</v>
      </c>
      <c r="K616" s="764" t="s">
        <v>102</v>
      </c>
      <c r="L616" s="768" t="s">
        <v>102</v>
      </c>
    </row>
    <row r="617" spans="2:12" ht="28.8">
      <c r="B617" s="764" t="s">
        <v>210</v>
      </c>
      <c r="C617" s="764" t="s">
        <v>84</v>
      </c>
      <c r="D617" s="764" t="s">
        <v>319</v>
      </c>
      <c r="E617" s="764" t="s">
        <v>323</v>
      </c>
      <c r="F617" s="764" t="s">
        <v>102</v>
      </c>
      <c r="G617" s="764" t="s">
        <v>107</v>
      </c>
      <c r="H617" s="769" cm="1">
        <f t="array" ref="H617">_xlfn.XLOOKUP(D617&amp;E617&amp;G617,'3.6 Trat. yo disp. de residuos'!$B$7:$B$78&amp;'3.6 Trat. yo disp. de residuos'!$C$7:$C$78&amp;'3.6 Trat. yo disp. de residuos'!$E$7:$E$78,'3.6 Trat. yo disp. de residuos'!$F$7:$F$78,"-")</f>
        <v>6.4106099999999997E-3</v>
      </c>
      <c r="I617" s="764" t="str" cm="1">
        <f t="array" ref="I617">_xlfn.XLOOKUP(D617&amp;E617&amp;G617,'3.6 Trat. yo disp. de residuos'!$B$7:$B$78&amp;'3.6 Trat. yo disp. de residuos'!$C$7:$C$78&amp;'3.6 Trat. yo disp. de residuos'!$E$7:$E$78,'3.6 Trat. yo disp. de residuos'!$G$7:$G$78,"-")</f>
        <v>kgCO2e/kilogramos</v>
      </c>
      <c r="J617" s="764" t="str" cm="1">
        <f t="array" ref="J617">_xlfn.XLOOKUP(D617&amp;E617&amp;G617,'3.6 Trat. yo disp. de residuos'!$B$7:$B$78&amp;'3.6 Trat. yo disp. de residuos'!$C$7:$C$78&amp;'3.6 Trat. yo disp. de residuos'!$E$7:$E$78,'3.6 Trat. yo disp. de residuos'!$H$7:$H$78,"-")</f>
        <v>DEFRA 2024, Waste disposal</v>
      </c>
      <c r="K617" s="764" t="s">
        <v>102</v>
      </c>
      <c r="L617" s="768" t="s">
        <v>102</v>
      </c>
    </row>
    <row r="618" spans="2:12" ht="28.8">
      <c r="B618" s="764" t="s">
        <v>210</v>
      </c>
      <c r="C618" s="764" t="s">
        <v>84</v>
      </c>
      <c r="D618" s="764" t="s">
        <v>319</v>
      </c>
      <c r="E618" s="764" t="s">
        <v>323</v>
      </c>
      <c r="F618" s="764" t="s">
        <v>102</v>
      </c>
      <c r="G618" s="764" t="s">
        <v>108</v>
      </c>
      <c r="H618" s="776" cm="1">
        <f t="array" ref="H618">_xlfn.XLOOKUP(D618&amp;E618&amp;G618,'3.6 Trat. yo disp. de residuos'!$B$7:$B$78&amp;'3.6 Trat. yo disp. de residuos'!$C$7:$C$78&amp;'3.6 Trat. yo disp. de residuos'!$E$7:$E$78,'3.6 Trat. yo disp. de residuos'!$F$7:$F$78,"-")</f>
        <v>6.4106099999999999E-6</v>
      </c>
      <c r="I618" s="764" t="str" cm="1">
        <f t="array" ref="I618">_xlfn.XLOOKUP(D618&amp;E618&amp;G618,'3.6 Trat. yo disp. de residuos'!$B$7:$B$78&amp;'3.6 Trat. yo disp. de residuos'!$C$7:$C$78&amp;'3.6 Trat. yo disp. de residuos'!$E$7:$E$78,'3.6 Trat. yo disp. de residuos'!$G$7:$G$78,"-")</f>
        <v>kgCO2e/gramos</v>
      </c>
      <c r="J618" s="764" t="str" cm="1">
        <f t="array" ref="J618">_xlfn.XLOOKUP(D618&amp;E618&amp;G618,'3.6 Trat. yo disp. de residuos'!$B$7:$B$78&amp;'3.6 Trat. yo disp. de residuos'!$C$7:$C$78&amp;'3.6 Trat. yo disp. de residuos'!$E$7:$E$78,'3.6 Trat. yo disp. de residuos'!$H$7:$H$78,"-")</f>
        <v>DEFRA 2024, Waste disposal</v>
      </c>
      <c r="K618" s="764" t="s">
        <v>102</v>
      </c>
      <c r="L618" s="768" t="s">
        <v>102</v>
      </c>
    </row>
    <row r="619" spans="2:12" ht="28.8">
      <c r="B619" s="764" t="s">
        <v>210</v>
      </c>
      <c r="C619" s="764" t="s">
        <v>84</v>
      </c>
      <c r="D619" s="764" t="s">
        <v>319</v>
      </c>
      <c r="E619" s="764" t="s">
        <v>324</v>
      </c>
      <c r="F619" s="764" t="s">
        <v>102</v>
      </c>
      <c r="G619" s="764" t="s">
        <v>106</v>
      </c>
      <c r="H619" s="765" cm="1">
        <f t="array" ref="H619">_xlfn.XLOOKUP(D619&amp;E619&amp;G619,'3.6 Trat. yo disp. de residuos'!$B$7:$B$78&amp;'3.6 Trat. yo disp. de residuos'!$C$7:$C$78&amp;'3.6 Trat. yo disp. de residuos'!$E$7:$E$78,'3.6 Trat. yo disp. de residuos'!$F$7:$F$78,"-")</f>
        <v>6.4106100000000001</v>
      </c>
      <c r="I619" s="764" t="str" cm="1">
        <f t="array" ref="I619">_xlfn.XLOOKUP(D619&amp;E619&amp;G619,'3.6 Trat. yo disp. de residuos'!$B$7:$B$78&amp;'3.6 Trat. yo disp. de residuos'!$C$7:$C$78&amp;'3.6 Trat. yo disp. de residuos'!$E$7:$E$78,'3.6 Trat. yo disp. de residuos'!$G$7:$G$78,"-")</f>
        <v>kgCO2e/toneladas</v>
      </c>
      <c r="J619" s="764" t="str" cm="1">
        <f t="array" ref="J619">_xlfn.XLOOKUP(D619&amp;E619&amp;G619,'3.6 Trat. yo disp. de residuos'!$B$7:$B$78&amp;'3.6 Trat. yo disp. de residuos'!$C$7:$C$78&amp;'3.6 Trat. yo disp. de residuos'!$E$7:$E$78,'3.6 Trat. yo disp. de residuos'!$H$7:$H$78,"-")</f>
        <v>DEFRA 2024, Waste disposal</v>
      </c>
      <c r="K619" s="764" t="s">
        <v>102</v>
      </c>
      <c r="L619" s="768" t="s">
        <v>102</v>
      </c>
    </row>
    <row r="620" spans="2:12" ht="28.8">
      <c r="B620" s="764" t="s">
        <v>210</v>
      </c>
      <c r="C620" s="764" t="s">
        <v>84</v>
      </c>
      <c r="D620" s="764" t="s">
        <v>319</v>
      </c>
      <c r="E620" s="764" t="s">
        <v>324</v>
      </c>
      <c r="F620" s="764" t="s">
        <v>102</v>
      </c>
      <c r="G620" s="764" t="s">
        <v>107</v>
      </c>
      <c r="H620" s="769" cm="1">
        <f t="array" ref="H620">_xlfn.XLOOKUP(D620&amp;E620&amp;G620,'3.6 Trat. yo disp. de residuos'!$B$7:$B$78&amp;'3.6 Trat. yo disp. de residuos'!$C$7:$C$78&amp;'3.6 Trat. yo disp. de residuos'!$E$7:$E$78,'3.6 Trat. yo disp. de residuos'!$F$7:$F$78,"-")</f>
        <v>6.4106099999999997E-3</v>
      </c>
      <c r="I620" s="764" t="str" cm="1">
        <f t="array" ref="I620">_xlfn.XLOOKUP(D620&amp;E620&amp;G620,'3.6 Trat. yo disp. de residuos'!$B$7:$B$78&amp;'3.6 Trat. yo disp. de residuos'!$C$7:$C$78&amp;'3.6 Trat. yo disp. de residuos'!$E$7:$E$78,'3.6 Trat. yo disp. de residuos'!$G$7:$G$78,"-")</f>
        <v>kgCO2e/kilogramos</v>
      </c>
      <c r="J620" s="764" t="str" cm="1">
        <f t="array" ref="J620">_xlfn.XLOOKUP(D620&amp;E620&amp;G620,'3.6 Trat. yo disp. de residuos'!$B$7:$B$78&amp;'3.6 Trat. yo disp. de residuos'!$C$7:$C$78&amp;'3.6 Trat. yo disp. de residuos'!$E$7:$E$78,'3.6 Trat. yo disp. de residuos'!$H$7:$H$78,"-")</f>
        <v>DEFRA 2024, Waste disposal</v>
      </c>
      <c r="K620" s="764" t="s">
        <v>102</v>
      </c>
      <c r="L620" s="768" t="s">
        <v>102</v>
      </c>
    </row>
    <row r="621" spans="2:12" ht="28.8">
      <c r="B621" s="764" t="s">
        <v>210</v>
      </c>
      <c r="C621" s="764" t="s">
        <v>84</v>
      </c>
      <c r="D621" s="764" t="s">
        <v>319</v>
      </c>
      <c r="E621" s="764" t="s">
        <v>324</v>
      </c>
      <c r="F621" s="764" t="s">
        <v>102</v>
      </c>
      <c r="G621" s="764" t="s">
        <v>108</v>
      </c>
      <c r="H621" s="776" cm="1">
        <f t="array" ref="H621">_xlfn.XLOOKUP(D621&amp;E621&amp;G621,'3.6 Trat. yo disp. de residuos'!$B$7:$B$78&amp;'3.6 Trat. yo disp. de residuos'!$C$7:$C$78&amp;'3.6 Trat. yo disp. de residuos'!$E$7:$E$78,'3.6 Trat. yo disp. de residuos'!$F$7:$F$78,"-")</f>
        <v>6.4106099999999999E-6</v>
      </c>
      <c r="I621" s="764" t="str" cm="1">
        <f t="array" ref="I621">_xlfn.XLOOKUP(D621&amp;E621&amp;G621,'3.6 Trat. yo disp. de residuos'!$B$7:$B$78&amp;'3.6 Trat. yo disp. de residuos'!$C$7:$C$78&amp;'3.6 Trat. yo disp. de residuos'!$E$7:$E$78,'3.6 Trat. yo disp. de residuos'!$G$7:$G$78,"-")</f>
        <v>kgCO2e/gramos</v>
      </c>
      <c r="J621" s="764" t="str" cm="1">
        <f t="array" ref="J621">_xlfn.XLOOKUP(D621&amp;E621&amp;G621,'3.6 Trat. yo disp. de residuos'!$B$7:$B$78&amp;'3.6 Trat. yo disp. de residuos'!$C$7:$C$78&amp;'3.6 Trat. yo disp. de residuos'!$E$7:$E$78,'3.6 Trat. yo disp. de residuos'!$H$7:$H$78,"-")</f>
        <v>DEFRA 2024, Waste disposal</v>
      </c>
      <c r="K621" s="764" t="s">
        <v>102</v>
      </c>
      <c r="L621" s="768" t="s">
        <v>102</v>
      </c>
    </row>
    <row r="622" spans="2:12" ht="28.8">
      <c r="B622" s="764" t="s">
        <v>210</v>
      </c>
      <c r="C622" s="764" t="s">
        <v>84</v>
      </c>
      <c r="D622" s="764" t="s">
        <v>319</v>
      </c>
      <c r="E622" s="764" t="s">
        <v>325</v>
      </c>
      <c r="F622" s="764" t="s">
        <v>102</v>
      </c>
      <c r="G622" s="764" t="s">
        <v>106</v>
      </c>
      <c r="H622" s="765" cm="1">
        <f t="array" ref="H622">_xlfn.XLOOKUP(D622&amp;E622&amp;G622,'3.6 Trat. yo disp. de residuos'!$B$7:$B$78&amp;'3.6 Trat. yo disp. de residuos'!$C$7:$C$78&amp;'3.6 Trat. yo disp. de residuos'!$E$7:$E$78,'3.6 Trat. yo disp. de residuos'!$F$7:$F$78,"-")</f>
        <v>6.4106100000000001</v>
      </c>
      <c r="I622" s="764" t="str" cm="1">
        <f t="array" ref="I622">_xlfn.XLOOKUP(D622&amp;E622&amp;G622,'3.6 Trat. yo disp. de residuos'!$B$7:$B$78&amp;'3.6 Trat. yo disp. de residuos'!$C$7:$C$78&amp;'3.6 Trat. yo disp. de residuos'!$E$7:$E$78,'3.6 Trat. yo disp. de residuos'!$G$7:$G$78,"-")</f>
        <v>kgCO2e/toneladas</v>
      </c>
      <c r="J622" s="764" t="str" cm="1">
        <f t="array" ref="J622">_xlfn.XLOOKUP(D622&amp;E622&amp;G622,'3.6 Trat. yo disp. de residuos'!$B$7:$B$78&amp;'3.6 Trat. yo disp. de residuos'!$C$7:$C$78&amp;'3.6 Trat. yo disp. de residuos'!$E$7:$E$78,'3.6 Trat. yo disp. de residuos'!$H$7:$H$78,"-")</f>
        <v>DEFRA 2024, Waste disposal</v>
      </c>
      <c r="K622" s="764" t="s">
        <v>102</v>
      </c>
      <c r="L622" s="768" t="s">
        <v>102</v>
      </c>
    </row>
    <row r="623" spans="2:12" ht="28.8">
      <c r="B623" s="764" t="s">
        <v>210</v>
      </c>
      <c r="C623" s="764" t="s">
        <v>84</v>
      </c>
      <c r="D623" s="764" t="s">
        <v>319</v>
      </c>
      <c r="E623" s="764" t="s">
        <v>325</v>
      </c>
      <c r="F623" s="764" t="s">
        <v>102</v>
      </c>
      <c r="G623" s="764" t="s">
        <v>107</v>
      </c>
      <c r="H623" s="769" cm="1">
        <f t="array" ref="H623">_xlfn.XLOOKUP(D623&amp;E623&amp;G623,'3.6 Trat. yo disp. de residuos'!$B$7:$B$78&amp;'3.6 Trat. yo disp. de residuos'!$C$7:$C$78&amp;'3.6 Trat. yo disp. de residuos'!$E$7:$E$78,'3.6 Trat. yo disp. de residuos'!$F$7:$F$78,"-")</f>
        <v>6.4106099999999997E-3</v>
      </c>
      <c r="I623" s="764" t="str" cm="1">
        <f t="array" ref="I623">_xlfn.XLOOKUP(D623&amp;E623&amp;G623,'3.6 Trat. yo disp. de residuos'!$B$7:$B$78&amp;'3.6 Trat. yo disp. de residuos'!$C$7:$C$78&amp;'3.6 Trat. yo disp. de residuos'!$E$7:$E$78,'3.6 Trat. yo disp. de residuos'!$G$7:$G$78,"-")</f>
        <v>kgCO2e/kilogramos</v>
      </c>
      <c r="J623" s="764" t="str" cm="1">
        <f t="array" ref="J623">_xlfn.XLOOKUP(D623&amp;E623&amp;G623,'3.6 Trat. yo disp. de residuos'!$B$7:$B$78&amp;'3.6 Trat. yo disp. de residuos'!$C$7:$C$78&amp;'3.6 Trat. yo disp. de residuos'!$E$7:$E$78,'3.6 Trat. yo disp. de residuos'!$H$7:$H$78,"-")</f>
        <v>DEFRA 2024, Waste disposal</v>
      </c>
      <c r="K623" s="764" t="s">
        <v>102</v>
      </c>
      <c r="L623" s="768" t="s">
        <v>102</v>
      </c>
    </row>
    <row r="624" spans="2:12" ht="28.8">
      <c r="B624" s="764" t="s">
        <v>210</v>
      </c>
      <c r="C624" s="764" t="s">
        <v>84</v>
      </c>
      <c r="D624" s="764" t="s">
        <v>319</v>
      </c>
      <c r="E624" s="764" t="s">
        <v>325</v>
      </c>
      <c r="F624" s="764" t="s">
        <v>102</v>
      </c>
      <c r="G624" s="764" t="s">
        <v>108</v>
      </c>
      <c r="H624" s="776" cm="1">
        <f t="array" ref="H624">_xlfn.XLOOKUP(D624&amp;E624&amp;G624,'3.6 Trat. yo disp. de residuos'!$B$7:$B$78&amp;'3.6 Trat. yo disp. de residuos'!$C$7:$C$78&amp;'3.6 Trat. yo disp. de residuos'!$E$7:$E$78,'3.6 Trat. yo disp. de residuos'!$F$7:$F$78,"-")</f>
        <v>6.4106099999999999E-6</v>
      </c>
      <c r="I624" s="764" t="str" cm="1">
        <f t="array" ref="I624">_xlfn.XLOOKUP(D624&amp;E624&amp;G624,'3.6 Trat. yo disp. de residuos'!$B$7:$B$78&amp;'3.6 Trat. yo disp. de residuos'!$C$7:$C$78&amp;'3.6 Trat. yo disp. de residuos'!$E$7:$E$78,'3.6 Trat. yo disp. de residuos'!$G$7:$G$78,"-")</f>
        <v>kgCO2e/gramos</v>
      </c>
      <c r="J624" s="764" t="str" cm="1">
        <f t="array" ref="J624">_xlfn.XLOOKUP(D624&amp;E624&amp;G624,'3.6 Trat. yo disp. de residuos'!$B$7:$B$78&amp;'3.6 Trat. yo disp. de residuos'!$C$7:$C$78&amp;'3.6 Trat. yo disp. de residuos'!$E$7:$E$78,'3.6 Trat. yo disp. de residuos'!$H$7:$H$78,"-")</f>
        <v>DEFRA 2024, Waste disposal</v>
      </c>
      <c r="K624" s="764" t="s">
        <v>102</v>
      </c>
      <c r="L624" s="768" t="s">
        <v>102</v>
      </c>
    </row>
    <row r="625" spans="2:12" ht="28.8">
      <c r="B625" s="764" t="s">
        <v>210</v>
      </c>
      <c r="C625" s="764" t="s">
        <v>84</v>
      </c>
      <c r="D625" s="764" t="s">
        <v>319</v>
      </c>
      <c r="E625" s="764" t="s">
        <v>326</v>
      </c>
      <c r="F625" s="764" t="s">
        <v>102</v>
      </c>
      <c r="G625" s="764" t="s">
        <v>106</v>
      </c>
      <c r="H625" s="765" cm="1">
        <f t="array" ref="H625">_xlfn.XLOOKUP(D625&amp;E625&amp;G625,'3.6 Trat. yo disp. de residuos'!$B$7:$B$78&amp;'3.6 Trat. yo disp. de residuos'!$C$7:$C$78&amp;'3.6 Trat. yo disp. de residuos'!$E$7:$E$78,'3.6 Trat. yo disp. de residuos'!$F$7:$F$78,"-")</f>
        <v>6.4106100000000001</v>
      </c>
      <c r="I625" s="764" t="str" cm="1">
        <f t="array" ref="I625">_xlfn.XLOOKUP(D625&amp;E625&amp;G625,'3.6 Trat. yo disp. de residuos'!$B$7:$B$78&amp;'3.6 Trat. yo disp. de residuos'!$C$7:$C$78&amp;'3.6 Trat. yo disp. de residuos'!$E$7:$E$78,'3.6 Trat. yo disp. de residuos'!$G$7:$G$78,"-")</f>
        <v>kgCO2e/toneladas</v>
      </c>
      <c r="J625" s="764" t="str" cm="1">
        <f t="array" ref="J625">_xlfn.XLOOKUP(D625&amp;E625&amp;G625,'3.6 Trat. yo disp. de residuos'!$B$7:$B$78&amp;'3.6 Trat. yo disp. de residuos'!$C$7:$C$78&amp;'3.6 Trat. yo disp. de residuos'!$E$7:$E$78,'3.6 Trat. yo disp. de residuos'!$H$7:$H$78,"-")</f>
        <v>DEFRA 2024, Waste disposal</v>
      </c>
      <c r="K625" s="764" t="s">
        <v>102</v>
      </c>
      <c r="L625" s="768" t="s">
        <v>102</v>
      </c>
    </row>
    <row r="626" spans="2:12" ht="28.8">
      <c r="B626" s="764" t="s">
        <v>210</v>
      </c>
      <c r="C626" s="764" t="s">
        <v>84</v>
      </c>
      <c r="D626" s="764" t="s">
        <v>319</v>
      </c>
      <c r="E626" s="764" t="s">
        <v>326</v>
      </c>
      <c r="F626" s="764" t="s">
        <v>102</v>
      </c>
      <c r="G626" s="764" t="s">
        <v>107</v>
      </c>
      <c r="H626" s="769" cm="1">
        <f t="array" ref="H626">_xlfn.XLOOKUP(D626&amp;E626&amp;G626,'3.6 Trat. yo disp. de residuos'!$B$7:$B$78&amp;'3.6 Trat. yo disp. de residuos'!$C$7:$C$78&amp;'3.6 Trat. yo disp. de residuos'!$E$7:$E$78,'3.6 Trat. yo disp. de residuos'!$F$7:$F$78,"-")</f>
        <v>6.4106099999999997E-3</v>
      </c>
      <c r="I626" s="764" t="str" cm="1">
        <f t="array" ref="I626">_xlfn.XLOOKUP(D626&amp;E626&amp;G626,'3.6 Trat. yo disp. de residuos'!$B$7:$B$78&amp;'3.6 Trat. yo disp. de residuos'!$C$7:$C$78&amp;'3.6 Trat. yo disp. de residuos'!$E$7:$E$78,'3.6 Trat. yo disp. de residuos'!$G$7:$G$78,"-")</f>
        <v>kgCO2e/kilogramos</v>
      </c>
      <c r="J626" s="764" t="str" cm="1">
        <f t="array" ref="J626">_xlfn.XLOOKUP(D626&amp;E626&amp;G626,'3.6 Trat. yo disp. de residuos'!$B$7:$B$78&amp;'3.6 Trat. yo disp. de residuos'!$C$7:$C$78&amp;'3.6 Trat. yo disp. de residuos'!$E$7:$E$78,'3.6 Trat. yo disp. de residuos'!$H$7:$H$78,"-")</f>
        <v>DEFRA 2024, Waste disposal</v>
      </c>
      <c r="K626" s="764" t="s">
        <v>102</v>
      </c>
      <c r="L626" s="768" t="s">
        <v>102</v>
      </c>
    </row>
    <row r="627" spans="2:12" ht="28.8">
      <c r="B627" s="764" t="s">
        <v>210</v>
      </c>
      <c r="C627" s="764" t="s">
        <v>84</v>
      </c>
      <c r="D627" s="764" t="s">
        <v>319</v>
      </c>
      <c r="E627" s="764" t="s">
        <v>326</v>
      </c>
      <c r="F627" s="764" t="s">
        <v>102</v>
      </c>
      <c r="G627" s="764" t="s">
        <v>108</v>
      </c>
      <c r="H627" s="776" cm="1">
        <f t="array" ref="H627">_xlfn.XLOOKUP(D627&amp;E627&amp;G627,'3.6 Trat. yo disp. de residuos'!$B$7:$B$78&amp;'3.6 Trat. yo disp. de residuos'!$C$7:$C$78&amp;'3.6 Trat. yo disp. de residuos'!$E$7:$E$78,'3.6 Trat. yo disp. de residuos'!$F$7:$F$78,"-")</f>
        <v>6.4106099999999999E-6</v>
      </c>
      <c r="I627" s="764" t="str" cm="1">
        <f t="array" ref="I627">_xlfn.XLOOKUP(D627&amp;E627&amp;G627,'3.6 Trat. yo disp. de residuos'!$B$7:$B$78&amp;'3.6 Trat. yo disp. de residuos'!$C$7:$C$78&amp;'3.6 Trat. yo disp. de residuos'!$E$7:$E$78,'3.6 Trat. yo disp. de residuos'!$G$7:$G$78,"-")</f>
        <v>kgCO2e/gramos</v>
      </c>
      <c r="J627" s="764" t="str" cm="1">
        <f t="array" ref="J627">_xlfn.XLOOKUP(D627&amp;E627&amp;G627,'3.6 Trat. yo disp. de residuos'!$B$7:$B$78&amp;'3.6 Trat. yo disp. de residuos'!$C$7:$C$78&amp;'3.6 Trat. yo disp. de residuos'!$E$7:$E$78,'3.6 Trat. yo disp. de residuos'!$H$7:$H$78,"-")</f>
        <v>DEFRA 2024, Waste disposal</v>
      </c>
      <c r="K627" s="764" t="s">
        <v>102</v>
      </c>
      <c r="L627" s="768" t="s">
        <v>102</v>
      </c>
    </row>
    <row r="628" spans="2:12" ht="28.8">
      <c r="B628" s="764" t="s">
        <v>210</v>
      </c>
      <c r="C628" s="764" t="s">
        <v>84</v>
      </c>
      <c r="D628" s="764" t="s">
        <v>319</v>
      </c>
      <c r="E628" s="764" t="s">
        <v>327</v>
      </c>
      <c r="F628" s="764" t="s">
        <v>102</v>
      </c>
      <c r="G628" s="764" t="s">
        <v>106</v>
      </c>
      <c r="H628" s="765" cm="1">
        <f t="array" ref="H628">_xlfn.XLOOKUP(D628&amp;E628&amp;G628,'3.6 Trat. yo disp. de residuos'!$B$7:$B$78&amp;'3.6 Trat. yo disp. de residuos'!$C$7:$C$78&amp;'3.6 Trat. yo disp. de residuos'!$E$7:$E$78,'3.6 Trat. yo disp. de residuos'!$F$7:$F$78,"-")</f>
        <v>6.4106100000000001</v>
      </c>
      <c r="I628" s="764" t="str" cm="1">
        <f t="array" ref="I628">_xlfn.XLOOKUP(D628&amp;E628&amp;G628,'3.6 Trat. yo disp. de residuos'!$B$7:$B$78&amp;'3.6 Trat. yo disp. de residuos'!$C$7:$C$78&amp;'3.6 Trat. yo disp. de residuos'!$E$7:$E$78,'3.6 Trat. yo disp. de residuos'!$G$7:$G$78,"-")</f>
        <v>kgCO2e/toneladas</v>
      </c>
      <c r="J628" s="764" t="str" cm="1">
        <f t="array" ref="J628">_xlfn.XLOOKUP(D628&amp;E628&amp;G628,'3.6 Trat. yo disp. de residuos'!$B$7:$B$78&amp;'3.6 Trat. yo disp. de residuos'!$C$7:$C$78&amp;'3.6 Trat. yo disp. de residuos'!$E$7:$E$78,'3.6 Trat. yo disp. de residuos'!$H$7:$H$78,"-")</f>
        <v>DEFRA 2024, Waste disposal</v>
      </c>
      <c r="K628" s="764" t="s">
        <v>102</v>
      </c>
      <c r="L628" s="768" t="s">
        <v>102</v>
      </c>
    </row>
    <row r="629" spans="2:12" ht="28.8">
      <c r="B629" s="764" t="s">
        <v>210</v>
      </c>
      <c r="C629" s="764" t="s">
        <v>84</v>
      </c>
      <c r="D629" s="764" t="s">
        <v>319</v>
      </c>
      <c r="E629" s="764" t="s">
        <v>327</v>
      </c>
      <c r="F629" s="764" t="s">
        <v>102</v>
      </c>
      <c r="G629" s="764" t="s">
        <v>107</v>
      </c>
      <c r="H629" s="769" cm="1">
        <f t="array" ref="H629">_xlfn.XLOOKUP(D629&amp;E629&amp;G629,'3.6 Trat. yo disp. de residuos'!$B$7:$B$78&amp;'3.6 Trat. yo disp. de residuos'!$C$7:$C$78&amp;'3.6 Trat. yo disp. de residuos'!$E$7:$E$78,'3.6 Trat. yo disp. de residuos'!$F$7:$F$78,"-")</f>
        <v>6.4106099999999997E-3</v>
      </c>
      <c r="I629" s="764" t="str" cm="1">
        <f t="array" ref="I629">_xlfn.XLOOKUP(D629&amp;E629&amp;G629,'3.6 Trat. yo disp. de residuos'!$B$7:$B$78&amp;'3.6 Trat. yo disp. de residuos'!$C$7:$C$78&amp;'3.6 Trat. yo disp. de residuos'!$E$7:$E$78,'3.6 Trat. yo disp. de residuos'!$G$7:$G$78,"-")</f>
        <v>kgCO2e/kilogramos</v>
      </c>
      <c r="J629" s="764" t="str" cm="1">
        <f t="array" ref="J629">_xlfn.XLOOKUP(D629&amp;E629&amp;G629,'3.6 Trat. yo disp. de residuos'!$B$7:$B$78&amp;'3.6 Trat. yo disp. de residuos'!$C$7:$C$78&amp;'3.6 Trat. yo disp. de residuos'!$E$7:$E$78,'3.6 Trat. yo disp. de residuos'!$H$7:$H$78,"-")</f>
        <v>DEFRA 2024, Waste disposal</v>
      </c>
      <c r="K629" s="764" t="s">
        <v>102</v>
      </c>
      <c r="L629" s="768" t="s">
        <v>102</v>
      </c>
    </row>
    <row r="630" spans="2:12" ht="28.8">
      <c r="B630" s="764" t="s">
        <v>210</v>
      </c>
      <c r="C630" s="764" t="s">
        <v>84</v>
      </c>
      <c r="D630" s="764" t="s">
        <v>319</v>
      </c>
      <c r="E630" s="764" t="s">
        <v>327</v>
      </c>
      <c r="F630" s="764" t="s">
        <v>102</v>
      </c>
      <c r="G630" s="764" t="s">
        <v>108</v>
      </c>
      <c r="H630" s="776" cm="1">
        <f t="array" ref="H630">_xlfn.XLOOKUP(D630&amp;E630&amp;G630,'3.6 Trat. yo disp. de residuos'!$B$7:$B$78&amp;'3.6 Trat. yo disp. de residuos'!$C$7:$C$78&amp;'3.6 Trat. yo disp. de residuos'!$E$7:$E$78,'3.6 Trat. yo disp. de residuos'!$F$7:$F$78,"-")</f>
        <v>6.4106099999999999E-6</v>
      </c>
      <c r="I630" s="764" t="str" cm="1">
        <f t="array" ref="I630">_xlfn.XLOOKUP(D630&amp;E630&amp;G630,'3.6 Trat. yo disp. de residuos'!$B$7:$B$78&amp;'3.6 Trat. yo disp. de residuos'!$C$7:$C$78&amp;'3.6 Trat. yo disp. de residuos'!$E$7:$E$78,'3.6 Trat. yo disp. de residuos'!$G$7:$G$78,"-")</f>
        <v>kgCO2e/gramos</v>
      </c>
      <c r="J630" s="764" t="str" cm="1">
        <f t="array" ref="J630">_xlfn.XLOOKUP(D630&amp;E630&amp;G630,'3.6 Trat. yo disp. de residuos'!$B$7:$B$78&amp;'3.6 Trat. yo disp. de residuos'!$C$7:$C$78&amp;'3.6 Trat. yo disp. de residuos'!$E$7:$E$78,'3.6 Trat. yo disp. de residuos'!$H$7:$H$78,"-")</f>
        <v>DEFRA 2024, Waste disposal</v>
      </c>
      <c r="K630" s="764" t="s">
        <v>102</v>
      </c>
      <c r="L630" s="768" t="s">
        <v>102</v>
      </c>
    </row>
    <row r="631" spans="2:12" ht="28.8">
      <c r="B631" s="764" t="s">
        <v>210</v>
      </c>
      <c r="C631" s="764" t="s">
        <v>84</v>
      </c>
      <c r="D631" s="764" t="s">
        <v>319</v>
      </c>
      <c r="E631" s="764" t="s">
        <v>236</v>
      </c>
      <c r="F631" s="764" t="s">
        <v>102</v>
      </c>
      <c r="G631" s="764" t="s">
        <v>106</v>
      </c>
      <c r="H631" s="765" cm="1">
        <f t="array" ref="H631">_xlfn.XLOOKUP(D631&amp;E631&amp;G631,'3.6 Trat. yo disp. de residuos'!$B$7:$B$78&amp;'3.6 Trat. yo disp. de residuos'!$C$7:$C$78&amp;'3.6 Trat. yo disp. de residuos'!$E$7:$E$78,'3.6 Trat. yo disp. de residuos'!$F$7:$F$78,"-")</f>
        <v>6.4106100000000001</v>
      </c>
      <c r="I631" s="764" t="str" cm="1">
        <f t="array" ref="I631">_xlfn.XLOOKUP(D631&amp;E631&amp;G631,'3.6 Trat. yo disp. de residuos'!$B$7:$B$78&amp;'3.6 Trat. yo disp. de residuos'!$C$7:$C$78&amp;'3.6 Trat. yo disp. de residuos'!$E$7:$E$78,'3.6 Trat. yo disp. de residuos'!$G$7:$G$78,"-")</f>
        <v>kgCO2e/toneladas</v>
      </c>
      <c r="J631" s="764" t="str" cm="1">
        <f t="array" ref="J631">_xlfn.XLOOKUP(D631&amp;E631&amp;G631,'3.6 Trat. yo disp. de residuos'!$B$7:$B$78&amp;'3.6 Trat. yo disp. de residuos'!$C$7:$C$78&amp;'3.6 Trat. yo disp. de residuos'!$E$7:$E$78,'3.6 Trat. yo disp. de residuos'!$H$7:$H$78,"-")</f>
        <v>DEFRA 2024, Waste disposal</v>
      </c>
      <c r="K631" s="764" t="s">
        <v>102</v>
      </c>
      <c r="L631" s="768" t="s">
        <v>102</v>
      </c>
    </row>
    <row r="632" spans="2:12" ht="28.8">
      <c r="B632" s="764" t="s">
        <v>210</v>
      </c>
      <c r="C632" s="764" t="s">
        <v>84</v>
      </c>
      <c r="D632" s="764" t="s">
        <v>319</v>
      </c>
      <c r="E632" s="764" t="s">
        <v>236</v>
      </c>
      <c r="F632" s="764" t="s">
        <v>102</v>
      </c>
      <c r="G632" s="764" t="s">
        <v>107</v>
      </c>
      <c r="H632" s="769" cm="1">
        <f t="array" ref="H632">_xlfn.XLOOKUP(D632&amp;E632&amp;G632,'3.6 Trat. yo disp. de residuos'!$B$7:$B$78&amp;'3.6 Trat. yo disp. de residuos'!$C$7:$C$78&amp;'3.6 Trat. yo disp. de residuos'!$E$7:$E$78,'3.6 Trat. yo disp. de residuos'!$F$7:$F$78,"-")</f>
        <v>6.4106099999999997E-3</v>
      </c>
      <c r="I632" s="764" t="str" cm="1">
        <f t="array" ref="I632">_xlfn.XLOOKUP(D632&amp;E632&amp;G632,'3.6 Trat. yo disp. de residuos'!$B$7:$B$78&amp;'3.6 Trat. yo disp. de residuos'!$C$7:$C$78&amp;'3.6 Trat. yo disp. de residuos'!$E$7:$E$78,'3.6 Trat. yo disp. de residuos'!$G$7:$G$78,"-")</f>
        <v>kgCO2e/kilogramos</v>
      </c>
      <c r="J632" s="764" t="str" cm="1">
        <f t="array" ref="J632">_xlfn.XLOOKUP(D632&amp;E632&amp;G632,'3.6 Trat. yo disp. de residuos'!$B$7:$B$78&amp;'3.6 Trat. yo disp. de residuos'!$C$7:$C$78&amp;'3.6 Trat. yo disp. de residuos'!$E$7:$E$78,'3.6 Trat. yo disp. de residuos'!$H$7:$H$78,"-")</f>
        <v>DEFRA 2024, Waste disposal</v>
      </c>
      <c r="K632" s="764" t="s">
        <v>102</v>
      </c>
      <c r="L632" s="768" t="s">
        <v>102</v>
      </c>
    </row>
    <row r="633" spans="2:12" ht="28.8">
      <c r="B633" s="764" t="s">
        <v>210</v>
      </c>
      <c r="C633" s="764" t="s">
        <v>84</v>
      </c>
      <c r="D633" s="764" t="s">
        <v>319</v>
      </c>
      <c r="E633" s="764" t="s">
        <v>236</v>
      </c>
      <c r="F633" s="764" t="s">
        <v>102</v>
      </c>
      <c r="G633" s="764" t="s">
        <v>108</v>
      </c>
      <c r="H633" s="776" cm="1">
        <f t="array" ref="H633">_xlfn.XLOOKUP(D633&amp;E633&amp;G633,'3.6 Trat. yo disp. de residuos'!$B$7:$B$78&amp;'3.6 Trat. yo disp. de residuos'!$C$7:$C$78&amp;'3.6 Trat. yo disp. de residuos'!$E$7:$E$78,'3.6 Trat. yo disp. de residuos'!$F$7:$F$78,"-")</f>
        <v>6.4106099999999999E-6</v>
      </c>
      <c r="I633" s="764" t="str" cm="1">
        <f t="array" ref="I633">_xlfn.XLOOKUP(D633&amp;E633&amp;G633,'3.6 Trat. yo disp. de residuos'!$B$7:$B$78&amp;'3.6 Trat. yo disp. de residuos'!$C$7:$C$78&amp;'3.6 Trat. yo disp. de residuos'!$E$7:$E$78,'3.6 Trat. yo disp. de residuos'!$G$7:$G$78,"-")</f>
        <v>kgCO2e/gramos</v>
      </c>
      <c r="J633" s="764" t="str" cm="1">
        <f t="array" ref="J633">_xlfn.XLOOKUP(D633&amp;E633&amp;G633,'3.6 Trat. yo disp. de residuos'!$B$7:$B$78&amp;'3.6 Trat. yo disp. de residuos'!$C$7:$C$78&amp;'3.6 Trat. yo disp. de residuos'!$E$7:$E$78,'3.6 Trat. yo disp. de residuos'!$H$7:$H$78,"-")</f>
        <v>DEFRA 2024, Waste disposal</v>
      </c>
      <c r="K633" s="764" t="s">
        <v>102</v>
      </c>
      <c r="L633" s="768" t="s">
        <v>102</v>
      </c>
    </row>
    <row r="634" spans="2:12" ht="28.8">
      <c r="B634" s="764" t="s">
        <v>210</v>
      </c>
      <c r="C634" s="764" t="s">
        <v>84</v>
      </c>
      <c r="D634" s="764" t="s">
        <v>319</v>
      </c>
      <c r="E634" s="764" t="s">
        <v>240</v>
      </c>
      <c r="F634" s="764" t="s">
        <v>102</v>
      </c>
      <c r="G634" s="764" t="s">
        <v>106</v>
      </c>
      <c r="H634" s="765" cm="1">
        <f t="array" ref="H634">_xlfn.XLOOKUP(D634&amp;E634&amp;G634,'3.6 Trat. yo disp. de residuos'!$B$7:$B$78&amp;'3.6 Trat. yo disp. de residuos'!$C$7:$C$78&amp;'3.6 Trat. yo disp. de residuos'!$E$7:$E$78,'3.6 Trat. yo disp. de residuos'!$F$7:$F$78,"-")</f>
        <v>6.4106100000000001</v>
      </c>
      <c r="I634" s="764" t="str" cm="1">
        <f t="array" ref="I634">_xlfn.XLOOKUP(D634&amp;E634&amp;G634,'3.6 Trat. yo disp. de residuos'!$B$7:$B$78&amp;'3.6 Trat. yo disp. de residuos'!$C$7:$C$78&amp;'3.6 Trat. yo disp. de residuos'!$E$7:$E$78,'3.6 Trat. yo disp. de residuos'!$G$7:$G$78,"-")</f>
        <v>kgCO2e/toneladas</v>
      </c>
      <c r="J634" s="764" t="str" cm="1">
        <f t="array" ref="J634">_xlfn.XLOOKUP(D634&amp;E634&amp;G634,'3.6 Trat. yo disp. de residuos'!$B$7:$B$78&amp;'3.6 Trat. yo disp. de residuos'!$C$7:$C$78&amp;'3.6 Trat. yo disp. de residuos'!$E$7:$E$78,'3.6 Trat. yo disp. de residuos'!$H$7:$H$78,"-")</f>
        <v>DEFRA 2024, Waste disposal</v>
      </c>
      <c r="K634" s="764" t="s">
        <v>102</v>
      </c>
      <c r="L634" s="768" t="s">
        <v>102</v>
      </c>
    </row>
    <row r="635" spans="2:12" ht="28.8">
      <c r="B635" s="764" t="s">
        <v>210</v>
      </c>
      <c r="C635" s="764" t="s">
        <v>84</v>
      </c>
      <c r="D635" s="764" t="s">
        <v>319</v>
      </c>
      <c r="E635" s="764" t="s">
        <v>240</v>
      </c>
      <c r="F635" s="764" t="s">
        <v>102</v>
      </c>
      <c r="G635" s="764" t="s">
        <v>107</v>
      </c>
      <c r="H635" s="769" cm="1">
        <f t="array" ref="H635">_xlfn.XLOOKUP(D635&amp;E635&amp;G635,'3.6 Trat. yo disp. de residuos'!$B$7:$B$78&amp;'3.6 Trat. yo disp. de residuos'!$C$7:$C$78&amp;'3.6 Trat. yo disp. de residuos'!$E$7:$E$78,'3.6 Trat. yo disp. de residuos'!$F$7:$F$78,"-")</f>
        <v>6.4106099999999997E-3</v>
      </c>
      <c r="I635" s="764" t="str" cm="1">
        <f t="array" ref="I635">_xlfn.XLOOKUP(D635&amp;E635&amp;G635,'3.6 Trat. yo disp. de residuos'!$B$7:$B$78&amp;'3.6 Trat. yo disp. de residuos'!$C$7:$C$78&amp;'3.6 Trat. yo disp. de residuos'!$E$7:$E$78,'3.6 Trat. yo disp. de residuos'!$G$7:$G$78,"-")</f>
        <v>kgCO2e/kilogramos</v>
      </c>
      <c r="J635" s="764" t="str" cm="1">
        <f t="array" ref="J635">_xlfn.XLOOKUP(D635&amp;E635&amp;G635,'3.6 Trat. yo disp. de residuos'!$B$7:$B$78&amp;'3.6 Trat. yo disp. de residuos'!$C$7:$C$78&amp;'3.6 Trat. yo disp. de residuos'!$E$7:$E$78,'3.6 Trat. yo disp. de residuos'!$H$7:$H$78,"-")</f>
        <v>DEFRA 2024, Waste disposal</v>
      </c>
      <c r="K635" s="764" t="s">
        <v>102</v>
      </c>
      <c r="L635" s="768" t="s">
        <v>102</v>
      </c>
    </row>
    <row r="636" spans="2:12" ht="28.8">
      <c r="B636" s="764" t="s">
        <v>210</v>
      </c>
      <c r="C636" s="764" t="s">
        <v>84</v>
      </c>
      <c r="D636" s="764" t="s">
        <v>319</v>
      </c>
      <c r="E636" s="764" t="s">
        <v>240</v>
      </c>
      <c r="F636" s="764" t="s">
        <v>102</v>
      </c>
      <c r="G636" s="764" t="s">
        <v>108</v>
      </c>
      <c r="H636" s="776" cm="1">
        <f t="array" ref="H636">_xlfn.XLOOKUP(D636&amp;E636&amp;G636,'3.6 Trat. yo disp. de residuos'!$B$7:$B$78&amp;'3.6 Trat. yo disp. de residuos'!$C$7:$C$78&amp;'3.6 Trat. yo disp. de residuos'!$E$7:$E$78,'3.6 Trat. yo disp. de residuos'!$F$7:$F$78,"-")</f>
        <v>6.4106099999999999E-6</v>
      </c>
      <c r="I636" s="764" t="str" cm="1">
        <f t="array" ref="I636">_xlfn.XLOOKUP(D636&amp;E636&amp;G636,'3.6 Trat. yo disp. de residuos'!$B$7:$B$78&amp;'3.6 Trat. yo disp. de residuos'!$C$7:$C$78&amp;'3.6 Trat. yo disp. de residuos'!$E$7:$E$78,'3.6 Trat. yo disp. de residuos'!$G$7:$G$78,"-")</f>
        <v>kgCO2e/gramos</v>
      </c>
      <c r="J636" s="764" t="str" cm="1">
        <f t="array" ref="J636">_xlfn.XLOOKUP(D636&amp;E636&amp;G636,'3.6 Trat. yo disp. de residuos'!$B$7:$B$78&amp;'3.6 Trat. yo disp. de residuos'!$C$7:$C$78&amp;'3.6 Trat. yo disp. de residuos'!$E$7:$E$78,'3.6 Trat. yo disp. de residuos'!$H$7:$H$78,"-")</f>
        <v>DEFRA 2024, Waste disposal</v>
      </c>
      <c r="K636" s="764" t="s">
        <v>102</v>
      </c>
      <c r="L636" s="768" t="s">
        <v>102</v>
      </c>
    </row>
    <row r="637" spans="2:12" ht="28.8">
      <c r="B637" s="764" t="s">
        <v>210</v>
      </c>
      <c r="C637" s="764" t="s">
        <v>84</v>
      </c>
      <c r="D637" s="764" t="s">
        <v>319</v>
      </c>
      <c r="E637" s="764" t="s">
        <v>328</v>
      </c>
      <c r="F637" s="764" t="s">
        <v>102</v>
      </c>
      <c r="G637" s="764" t="s">
        <v>106</v>
      </c>
      <c r="H637" s="765" cm="1">
        <f t="array" ref="H637">_xlfn.XLOOKUP(D637&amp;E637&amp;G637,'3.6 Trat. yo disp. de residuos'!$B$7:$B$78&amp;'3.6 Trat. yo disp. de residuos'!$C$7:$C$78&amp;'3.6 Trat. yo disp. de residuos'!$E$7:$E$78,'3.6 Trat. yo disp. de residuos'!$F$7:$F$78,"-")</f>
        <v>6.4106100000000001</v>
      </c>
      <c r="I637" s="764" t="str" cm="1">
        <f t="array" ref="I637">_xlfn.XLOOKUP(D637&amp;E637&amp;G637,'3.6 Trat. yo disp. de residuos'!$B$7:$B$78&amp;'3.6 Trat. yo disp. de residuos'!$C$7:$C$78&amp;'3.6 Trat. yo disp. de residuos'!$E$7:$E$78,'3.6 Trat. yo disp. de residuos'!$G$7:$G$78,"-")</f>
        <v>kgCO2e/toneladas</v>
      </c>
      <c r="J637" s="764" t="str" cm="1">
        <f t="array" ref="J637">_xlfn.XLOOKUP(D637&amp;E637&amp;G637,'3.6 Trat. yo disp. de residuos'!$B$7:$B$78&amp;'3.6 Trat. yo disp. de residuos'!$C$7:$C$78&amp;'3.6 Trat. yo disp. de residuos'!$E$7:$E$78,'3.6 Trat. yo disp. de residuos'!$H$7:$H$78,"-")</f>
        <v>DEFRA 2024, Waste disposal</v>
      </c>
      <c r="K637" s="764" t="s">
        <v>102</v>
      </c>
      <c r="L637" s="768" t="s">
        <v>102</v>
      </c>
    </row>
    <row r="638" spans="2:12" ht="28.8">
      <c r="B638" s="764" t="s">
        <v>210</v>
      </c>
      <c r="C638" s="764" t="s">
        <v>84</v>
      </c>
      <c r="D638" s="764" t="s">
        <v>319</v>
      </c>
      <c r="E638" s="764" t="s">
        <v>328</v>
      </c>
      <c r="F638" s="764" t="s">
        <v>102</v>
      </c>
      <c r="G638" s="764" t="s">
        <v>107</v>
      </c>
      <c r="H638" s="769" cm="1">
        <f t="array" ref="H638">_xlfn.XLOOKUP(D638&amp;E638&amp;G638,'3.6 Trat. yo disp. de residuos'!$B$7:$B$78&amp;'3.6 Trat. yo disp. de residuos'!$C$7:$C$78&amp;'3.6 Trat. yo disp. de residuos'!$E$7:$E$78,'3.6 Trat. yo disp. de residuos'!$F$7:$F$78,"-")</f>
        <v>6.4106099999999997E-3</v>
      </c>
      <c r="I638" s="764" t="str" cm="1">
        <f t="array" ref="I638">_xlfn.XLOOKUP(D638&amp;E638&amp;G638,'3.6 Trat. yo disp. de residuos'!$B$7:$B$78&amp;'3.6 Trat. yo disp. de residuos'!$C$7:$C$78&amp;'3.6 Trat. yo disp. de residuos'!$E$7:$E$78,'3.6 Trat. yo disp. de residuos'!$G$7:$G$78,"-")</f>
        <v>kgCO2e/kilogramos</v>
      </c>
      <c r="J638" s="764" t="str" cm="1">
        <f t="array" ref="J638">_xlfn.XLOOKUP(D638&amp;E638&amp;G638,'3.6 Trat. yo disp. de residuos'!$B$7:$B$78&amp;'3.6 Trat. yo disp. de residuos'!$C$7:$C$78&amp;'3.6 Trat. yo disp. de residuos'!$E$7:$E$78,'3.6 Trat. yo disp. de residuos'!$H$7:$H$78,"-")</f>
        <v>DEFRA 2024, Waste disposal</v>
      </c>
      <c r="K638" s="764" t="s">
        <v>102</v>
      </c>
      <c r="L638" s="768" t="s">
        <v>102</v>
      </c>
    </row>
    <row r="639" spans="2:12" ht="28.8">
      <c r="B639" s="764" t="s">
        <v>210</v>
      </c>
      <c r="C639" s="764" t="s">
        <v>84</v>
      </c>
      <c r="D639" s="764" t="s">
        <v>319</v>
      </c>
      <c r="E639" s="764" t="s">
        <v>328</v>
      </c>
      <c r="F639" s="764" t="s">
        <v>102</v>
      </c>
      <c r="G639" s="764" t="s">
        <v>108</v>
      </c>
      <c r="H639" s="776" cm="1">
        <f t="array" ref="H639">_xlfn.XLOOKUP(D639&amp;E639&amp;G639,'3.6 Trat. yo disp. de residuos'!$B$7:$B$78&amp;'3.6 Trat. yo disp. de residuos'!$C$7:$C$78&amp;'3.6 Trat. yo disp. de residuos'!$E$7:$E$78,'3.6 Trat. yo disp. de residuos'!$F$7:$F$78,"-")</f>
        <v>6.4106099999999999E-6</v>
      </c>
      <c r="I639" s="764" t="str" cm="1">
        <f t="array" ref="I639">_xlfn.XLOOKUP(D639&amp;E639&amp;G639,'3.6 Trat. yo disp. de residuos'!$B$7:$B$78&amp;'3.6 Trat. yo disp. de residuos'!$C$7:$C$78&amp;'3.6 Trat. yo disp. de residuos'!$E$7:$E$78,'3.6 Trat. yo disp. de residuos'!$G$7:$G$78,"-")</f>
        <v>kgCO2e/gramos</v>
      </c>
      <c r="J639" s="764" t="str" cm="1">
        <f t="array" ref="J639">_xlfn.XLOOKUP(D639&amp;E639&amp;G639,'3.6 Trat. yo disp. de residuos'!$B$7:$B$78&amp;'3.6 Trat. yo disp. de residuos'!$C$7:$C$78&amp;'3.6 Trat. yo disp. de residuos'!$E$7:$E$78,'3.6 Trat. yo disp. de residuos'!$H$7:$H$78,"-")</f>
        <v>DEFRA 2024, Waste disposal</v>
      </c>
      <c r="K639" s="764" t="s">
        <v>102</v>
      </c>
      <c r="L639" s="768" t="s">
        <v>102</v>
      </c>
    </row>
    <row r="640" spans="2:12" ht="28.8">
      <c r="B640" s="764" t="s">
        <v>210</v>
      </c>
      <c r="C640" s="764" t="s">
        <v>84</v>
      </c>
      <c r="D640" s="764" t="s">
        <v>319</v>
      </c>
      <c r="E640" s="764" t="s">
        <v>329</v>
      </c>
      <c r="F640" s="764" t="s">
        <v>102</v>
      </c>
      <c r="G640" s="764" t="s">
        <v>106</v>
      </c>
      <c r="H640" s="765" cm="1">
        <f t="array" ref="H640">_xlfn.XLOOKUP(D640&amp;E640&amp;G640,'3.6 Trat. yo disp. de residuos'!$B$7:$B$78&amp;'3.6 Trat. yo disp. de residuos'!$C$7:$C$78&amp;'3.6 Trat. yo disp. de residuos'!$E$7:$E$78,'3.6 Trat. yo disp. de residuos'!$F$7:$F$78,"-")</f>
        <v>6.4106100000000001</v>
      </c>
      <c r="I640" s="764" t="str" cm="1">
        <f t="array" ref="I640">_xlfn.XLOOKUP(D640&amp;E640&amp;G640,'3.6 Trat. yo disp. de residuos'!$B$7:$B$78&amp;'3.6 Trat. yo disp. de residuos'!$C$7:$C$78&amp;'3.6 Trat. yo disp. de residuos'!$E$7:$E$78,'3.6 Trat. yo disp. de residuos'!$G$7:$G$78,"-")</f>
        <v>kgCO2e/toneladas</v>
      </c>
      <c r="J640" s="764" t="str" cm="1">
        <f t="array" ref="J640">_xlfn.XLOOKUP(D640&amp;E640&amp;G640,'3.6 Trat. yo disp. de residuos'!$B$7:$B$78&amp;'3.6 Trat. yo disp. de residuos'!$C$7:$C$78&amp;'3.6 Trat. yo disp. de residuos'!$E$7:$E$78,'3.6 Trat. yo disp. de residuos'!$H$7:$H$78,"-")</f>
        <v>DEFRA 2024, Waste disposal</v>
      </c>
      <c r="K640" s="764" t="s">
        <v>102</v>
      </c>
      <c r="L640" s="768" t="s">
        <v>102</v>
      </c>
    </row>
    <row r="641" spans="2:12" ht="28.8">
      <c r="B641" s="764" t="s">
        <v>210</v>
      </c>
      <c r="C641" s="764" t="s">
        <v>84</v>
      </c>
      <c r="D641" s="764" t="s">
        <v>319</v>
      </c>
      <c r="E641" s="764" t="s">
        <v>329</v>
      </c>
      <c r="F641" s="764" t="s">
        <v>102</v>
      </c>
      <c r="G641" s="764" t="s">
        <v>107</v>
      </c>
      <c r="H641" s="769" cm="1">
        <f t="array" ref="H641">_xlfn.XLOOKUP(D641&amp;E641&amp;G641,'3.6 Trat. yo disp. de residuos'!$B$7:$B$78&amp;'3.6 Trat. yo disp. de residuos'!$C$7:$C$78&amp;'3.6 Trat. yo disp. de residuos'!$E$7:$E$78,'3.6 Trat. yo disp. de residuos'!$F$7:$F$78,"-")</f>
        <v>6.4106099999999997E-3</v>
      </c>
      <c r="I641" s="764" t="str" cm="1">
        <f t="array" ref="I641">_xlfn.XLOOKUP(D641&amp;E641&amp;G641,'3.6 Trat. yo disp. de residuos'!$B$7:$B$78&amp;'3.6 Trat. yo disp. de residuos'!$C$7:$C$78&amp;'3.6 Trat. yo disp. de residuos'!$E$7:$E$78,'3.6 Trat. yo disp. de residuos'!$G$7:$G$78,"-")</f>
        <v>kgCO2e/kilogramos</v>
      </c>
      <c r="J641" s="764" t="str" cm="1">
        <f t="array" ref="J641">_xlfn.XLOOKUP(D641&amp;E641&amp;G641,'3.6 Trat. yo disp. de residuos'!$B$7:$B$78&amp;'3.6 Trat. yo disp. de residuos'!$C$7:$C$78&amp;'3.6 Trat. yo disp. de residuos'!$E$7:$E$78,'3.6 Trat. yo disp. de residuos'!$H$7:$H$78,"-")</f>
        <v>DEFRA 2024, Waste disposal</v>
      </c>
      <c r="K641" s="764" t="s">
        <v>102</v>
      </c>
      <c r="L641" s="768" t="s">
        <v>102</v>
      </c>
    </row>
    <row r="642" spans="2:12" ht="28.8">
      <c r="B642" s="764" t="s">
        <v>210</v>
      </c>
      <c r="C642" s="764" t="s">
        <v>84</v>
      </c>
      <c r="D642" s="764" t="s">
        <v>319</v>
      </c>
      <c r="E642" s="764" t="s">
        <v>329</v>
      </c>
      <c r="F642" s="764" t="s">
        <v>102</v>
      </c>
      <c r="G642" s="764" t="s">
        <v>108</v>
      </c>
      <c r="H642" s="776" cm="1">
        <f t="array" ref="H642">_xlfn.XLOOKUP(D642&amp;E642&amp;G642,'3.6 Trat. yo disp. de residuos'!$B$7:$B$78&amp;'3.6 Trat. yo disp. de residuos'!$C$7:$C$78&amp;'3.6 Trat. yo disp. de residuos'!$E$7:$E$78,'3.6 Trat. yo disp. de residuos'!$F$7:$F$78,"-")</f>
        <v>6.4106099999999999E-6</v>
      </c>
      <c r="I642" s="764" t="str" cm="1">
        <f t="array" ref="I642">_xlfn.XLOOKUP(D642&amp;E642&amp;G642,'3.6 Trat. yo disp. de residuos'!$B$7:$B$78&amp;'3.6 Trat. yo disp. de residuos'!$C$7:$C$78&amp;'3.6 Trat. yo disp. de residuos'!$E$7:$E$78,'3.6 Trat. yo disp. de residuos'!$G$7:$G$78,"-")</f>
        <v>kgCO2e/gramos</v>
      </c>
      <c r="J642" s="764" t="str" cm="1">
        <f t="array" ref="J642">_xlfn.XLOOKUP(D642&amp;E642&amp;G642,'3.6 Trat. yo disp. de residuos'!$B$7:$B$78&amp;'3.6 Trat. yo disp. de residuos'!$C$7:$C$78&amp;'3.6 Trat. yo disp. de residuos'!$E$7:$E$78,'3.6 Trat. yo disp. de residuos'!$H$7:$H$78,"-")</f>
        <v>DEFRA 2024, Waste disposal</v>
      </c>
      <c r="K642" s="764" t="s">
        <v>102</v>
      </c>
      <c r="L642" s="768" t="s">
        <v>102</v>
      </c>
    </row>
    <row r="643" spans="2:12" ht="28.8">
      <c r="B643" s="764" t="s">
        <v>210</v>
      </c>
      <c r="C643" s="764" t="s">
        <v>84</v>
      </c>
      <c r="D643" s="764" t="s">
        <v>319</v>
      </c>
      <c r="E643" s="764" t="s">
        <v>330</v>
      </c>
      <c r="F643" s="764" t="s">
        <v>102</v>
      </c>
      <c r="G643" s="764" t="s">
        <v>106</v>
      </c>
      <c r="H643" s="765" cm="1">
        <f t="array" ref="H643">_xlfn.XLOOKUP(D643&amp;E643&amp;G643,'3.6 Trat. yo disp. de residuos'!$B$7:$B$78&amp;'3.6 Trat. yo disp. de residuos'!$C$7:$C$78&amp;'3.6 Trat. yo disp. de residuos'!$E$7:$E$78,'3.6 Trat. yo disp. de residuos'!$F$7:$F$78,"-")</f>
        <v>6.4106100000000001</v>
      </c>
      <c r="I643" s="764" t="str" cm="1">
        <f t="array" ref="I643">_xlfn.XLOOKUP(D643&amp;E643&amp;G643,'3.6 Trat. yo disp. de residuos'!$B$7:$B$78&amp;'3.6 Trat. yo disp. de residuos'!$C$7:$C$78&amp;'3.6 Trat. yo disp. de residuos'!$E$7:$E$78,'3.6 Trat. yo disp. de residuos'!$G$7:$G$78,"-")</f>
        <v>kgCO2e/toneladas</v>
      </c>
      <c r="J643" s="764" t="str" cm="1">
        <f t="array" ref="J643">_xlfn.XLOOKUP(D643&amp;E643&amp;G643,'3.6 Trat. yo disp. de residuos'!$B$7:$B$78&amp;'3.6 Trat. yo disp. de residuos'!$C$7:$C$78&amp;'3.6 Trat. yo disp. de residuos'!$E$7:$E$78,'3.6 Trat. yo disp. de residuos'!$H$7:$H$78,"-")</f>
        <v>DEFRA 2024, Waste disposal</v>
      </c>
      <c r="K643" s="764" t="s">
        <v>102</v>
      </c>
      <c r="L643" s="768" t="s">
        <v>102</v>
      </c>
    </row>
    <row r="644" spans="2:12" ht="28.8">
      <c r="B644" s="764" t="s">
        <v>210</v>
      </c>
      <c r="C644" s="764" t="s">
        <v>84</v>
      </c>
      <c r="D644" s="764" t="s">
        <v>319</v>
      </c>
      <c r="E644" s="764" t="s">
        <v>330</v>
      </c>
      <c r="F644" s="764" t="s">
        <v>102</v>
      </c>
      <c r="G644" s="764" t="s">
        <v>107</v>
      </c>
      <c r="H644" s="769" cm="1">
        <f t="array" ref="H644">_xlfn.XLOOKUP(D644&amp;E644&amp;G644,'3.6 Trat. yo disp. de residuos'!$B$7:$B$78&amp;'3.6 Trat. yo disp. de residuos'!$C$7:$C$78&amp;'3.6 Trat. yo disp. de residuos'!$E$7:$E$78,'3.6 Trat. yo disp. de residuos'!$F$7:$F$78,"-")</f>
        <v>6.4106099999999997E-3</v>
      </c>
      <c r="I644" s="764" t="str" cm="1">
        <f t="array" ref="I644">_xlfn.XLOOKUP(D644&amp;E644&amp;G644,'3.6 Trat. yo disp. de residuos'!$B$7:$B$78&amp;'3.6 Trat. yo disp. de residuos'!$C$7:$C$78&amp;'3.6 Trat. yo disp. de residuos'!$E$7:$E$78,'3.6 Trat. yo disp. de residuos'!$G$7:$G$78,"-")</f>
        <v>kgCO2e/kilogramos</v>
      </c>
      <c r="J644" s="764" t="str" cm="1">
        <f t="array" ref="J644">_xlfn.XLOOKUP(D644&amp;E644&amp;G644,'3.6 Trat. yo disp. de residuos'!$B$7:$B$78&amp;'3.6 Trat. yo disp. de residuos'!$C$7:$C$78&amp;'3.6 Trat. yo disp. de residuos'!$E$7:$E$78,'3.6 Trat. yo disp. de residuos'!$H$7:$H$78,"-")</f>
        <v>DEFRA 2024, Waste disposal</v>
      </c>
      <c r="K644" s="764" t="s">
        <v>102</v>
      </c>
      <c r="L644" s="768" t="s">
        <v>102</v>
      </c>
    </row>
    <row r="645" spans="2:12" ht="28.8">
      <c r="B645" s="764" t="s">
        <v>210</v>
      </c>
      <c r="C645" s="764" t="s">
        <v>84</v>
      </c>
      <c r="D645" s="764" t="s">
        <v>319</v>
      </c>
      <c r="E645" s="764" t="s">
        <v>330</v>
      </c>
      <c r="F645" s="764" t="s">
        <v>102</v>
      </c>
      <c r="G645" s="764" t="s">
        <v>108</v>
      </c>
      <c r="H645" s="776" cm="1">
        <f t="array" ref="H645">_xlfn.XLOOKUP(D645&amp;E645&amp;G645,'3.6 Trat. yo disp. de residuos'!$B$7:$B$78&amp;'3.6 Trat. yo disp. de residuos'!$C$7:$C$78&amp;'3.6 Trat. yo disp. de residuos'!$E$7:$E$78,'3.6 Trat. yo disp. de residuos'!$F$7:$F$78,"-")</f>
        <v>6.4106099999999999E-6</v>
      </c>
      <c r="I645" s="764" t="str" cm="1">
        <f t="array" ref="I645">_xlfn.XLOOKUP(D645&amp;E645&amp;G645,'3.6 Trat. yo disp. de residuos'!$B$7:$B$78&amp;'3.6 Trat. yo disp. de residuos'!$C$7:$C$78&amp;'3.6 Trat. yo disp. de residuos'!$E$7:$E$78,'3.6 Trat. yo disp. de residuos'!$G$7:$G$78,"-")</f>
        <v>kgCO2e/gramos</v>
      </c>
      <c r="J645" s="764" t="str" cm="1">
        <f t="array" ref="J645">_xlfn.XLOOKUP(D645&amp;E645&amp;G645,'3.6 Trat. yo disp. de residuos'!$B$7:$B$78&amp;'3.6 Trat. yo disp. de residuos'!$C$7:$C$78&amp;'3.6 Trat. yo disp. de residuos'!$E$7:$E$78,'3.6 Trat. yo disp. de residuos'!$H$7:$H$78,"-")</f>
        <v>DEFRA 2024, Waste disposal</v>
      </c>
      <c r="K645" s="764" t="s">
        <v>102</v>
      </c>
      <c r="L645" s="768" t="s">
        <v>102</v>
      </c>
    </row>
    <row r="646" spans="2:12" ht="28.8">
      <c r="B646" s="764" t="s">
        <v>210</v>
      </c>
      <c r="C646" s="764" t="s">
        <v>84</v>
      </c>
      <c r="D646" s="764" t="s">
        <v>319</v>
      </c>
      <c r="E646" s="764" t="s">
        <v>331</v>
      </c>
      <c r="F646" s="764" t="s">
        <v>102</v>
      </c>
      <c r="G646" s="764" t="s">
        <v>106</v>
      </c>
      <c r="H646" s="765" cm="1">
        <f t="array" ref="H646">_xlfn.XLOOKUP(D646&amp;E646&amp;G646,'3.6 Trat. yo disp. de residuos'!$B$7:$B$78&amp;'3.6 Trat. yo disp. de residuos'!$C$7:$C$78&amp;'3.6 Trat. yo disp. de residuos'!$E$7:$E$78,'3.6 Trat. yo disp. de residuos'!$F$7:$F$78,"-")</f>
        <v>0.98485</v>
      </c>
      <c r="I646" s="764" t="str" cm="1">
        <f t="array" ref="I646">_xlfn.XLOOKUP(D646&amp;E646&amp;G646,'3.6 Trat. yo disp. de residuos'!$B$7:$B$78&amp;'3.6 Trat. yo disp. de residuos'!$C$7:$C$78&amp;'3.6 Trat. yo disp. de residuos'!$E$7:$E$78,'3.6 Trat. yo disp. de residuos'!$G$7:$G$78,"-")</f>
        <v>kgCO2e/toneladas</v>
      </c>
      <c r="J646" s="764" t="str" cm="1">
        <f t="array" ref="J646">_xlfn.XLOOKUP(D646&amp;E646&amp;G646,'3.6 Trat. yo disp. de residuos'!$B$7:$B$78&amp;'3.6 Trat. yo disp. de residuos'!$C$7:$C$78&amp;'3.6 Trat. yo disp. de residuos'!$E$7:$E$78,'3.6 Trat. yo disp. de residuos'!$H$7:$H$78,"-")</f>
        <v>DEFRA 2024, Waste disposal</v>
      </c>
      <c r="K646" s="764" t="s">
        <v>102</v>
      </c>
      <c r="L646" s="768" t="s">
        <v>102</v>
      </c>
    </row>
    <row r="647" spans="2:12" ht="28.8">
      <c r="B647" s="764" t="s">
        <v>210</v>
      </c>
      <c r="C647" s="764" t="s">
        <v>84</v>
      </c>
      <c r="D647" s="764" t="s">
        <v>319</v>
      </c>
      <c r="E647" s="764" t="s">
        <v>331</v>
      </c>
      <c r="F647" s="764" t="s">
        <v>102</v>
      </c>
      <c r="G647" s="764" t="s">
        <v>107</v>
      </c>
      <c r="H647" s="769" cm="1">
        <f t="array" ref="H647">_xlfn.XLOOKUP(D647&amp;E647&amp;G647,'3.6 Trat. yo disp. de residuos'!$B$7:$B$78&amp;'3.6 Trat. yo disp. de residuos'!$C$7:$C$78&amp;'3.6 Trat. yo disp. de residuos'!$E$7:$E$78,'3.6 Trat. yo disp. de residuos'!$F$7:$F$78,"-")</f>
        <v>9.8485E-4</v>
      </c>
      <c r="I647" s="764" t="str" cm="1">
        <f t="array" ref="I647">_xlfn.XLOOKUP(D647&amp;E647&amp;G647,'3.6 Trat. yo disp. de residuos'!$B$7:$B$78&amp;'3.6 Trat. yo disp. de residuos'!$C$7:$C$78&amp;'3.6 Trat. yo disp. de residuos'!$E$7:$E$78,'3.6 Trat. yo disp. de residuos'!$G$7:$G$78,"-")</f>
        <v>kgCO2e/kilogramos</v>
      </c>
      <c r="J647" s="764" t="str" cm="1">
        <f t="array" ref="J647">_xlfn.XLOOKUP(D647&amp;E647&amp;G647,'3.6 Trat. yo disp. de residuos'!$B$7:$B$78&amp;'3.6 Trat. yo disp. de residuos'!$C$7:$C$78&amp;'3.6 Trat. yo disp. de residuos'!$E$7:$E$78,'3.6 Trat. yo disp. de residuos'!$H$7:$H$78,"-")</f>
        <v>DEFRA 2024, Waste disposal</v>
      </c>
      <c r="K647" s="764" t="s">
        <v>102</v>
      </c>
      <c r="L647" s="768" t="s">
        <v>102</v>
      </c>
    </row>
    <row r="648" spans="2:12" ht="28.8">
      <c r="B648" s="764" t="s">
        <v>210</v>
      </c>
      <c r="C648" s="764" t="s">
        <v>84</v>
      </c>
      <c r="D648" s="764" t="s">
        <v>319</v>
      </c>
      <c r="E648" s="764" t="s">
        <v>331</v>
      </c>
      <c r="F648" s="764" t="s">
        <v>102</v>
      </c>
      <c r="G648" s="764" t="s">
        <v>108</v>
      </c>
      <c r="H648" s="777" cm="1">
        <f t="array" ref="H648">_xlfn.XLOOKUP(D648&amp;E648&amp;G648,'3.6 Trat. yo disp. de residuos'!$B$7:$B$78&amp;'3.6 Trat. yo disp. de residuos'!$C$7:$C$78&amp;'3.6 Trat. yo disp. de residuos'!$E$7:$E$78,'3.6 Trat. yo disp. de residuos'!$F$7:$F$78,"-")</f>
        <v>9.8484999999999998E-7</v>
      </c>
      <c r="I648" s="764" t="str" cm="1">
        <f t="array" ref="I648">_xlfn.XLOOKUP(D648&amp;E648&amp;G648,'3.6 Trat. yo disp. de residuos'!$B$7:$B$78&amp;'3.6 Trat. yo disp. de residuos'!$C$7:$C$78&amp;'3.6 Trat. yo disp. de residuos'!$E$7:$E$78,'3.6 Trat. yo disp. de residuos'!$G$7:$G$78,"-")</f>
        <v>kgCO2e/gramos</v>
      </c>
      <c r="J648" s="764" t="str" cm="1">
        <f t="array" ref="J648">_xlfn.XLOOKUP(D648&amp;E648&amp;G648,'3.6 Trat. yo disp. de residuos'!$B$7:$B$78&amp;'3.6 Trat. yo disp. de residuos'!$C$7:$C$78&amp;'3.6 Trat. yo disp. de residuos'!$E$7:$E$78,'3.6 Trat. yo disp. de residuos'!$H$7:$H$78,"-")</f>
        <v>DEFRA 2024, Waste disposal</v>
      </c>
      <c r="K648" s="764" t="s">
        <v>102</v>
      </c>
      <c r="L648" s="768" t="s">
        <v>102</v>
      </c>
    </row>
    <row r="649" spans="2:12" ht="28.8">
      <c r="B649" s="764" t="s">
        <v>210</v>
      </c>
      <c r="C649" s="764" t="s">
        <v>84</v>
      </c>
      <c r="D649" s="764" t="s">
        <v>319</v>
      </c>
      <c r="E649" s="764" t="s">
        <v>332</v>
      </c>
      <c r="F649" s="764" t="s">
        <v>102</v>
      </c>
      <c r="G649" s="764" t="s">
        <v>106</v>
      </c>
      <c r="H649" s="765" cm="1">
        <f t="array" ref="H649">_xlfn.XLOOKUP(D649&amp;E649&amp;G649,'3.6 Trat. yo disp. de residuos'!$B$7:$B$78&amp;'3.6 Trat. yo disp. de residuos'!$C$7:$C$78&amp;'3.6 Trat. yo disp. de residuos'!$E$7:$E$78,'3.6 Trat. yo disp. de residuos'!$F$7:$F$78,"-")</f>
        <v>6.4106100000000001</v>
      </c>
      <c r="I649" s="764" t="str" cm="1">
        <f t="array" ref="I649">_xlfn.XLOOKUP(D649&amp;E649&amp;G649,'3.6 Trat. yo disp. de residuos'!$B$7:$B$78&amp;'3.6 Trat. yo disp. de residuos'!$C$7:$C$78&amp;'3.6 Trat. yo disp. de residuos'!$E$7:$E$78,'3.6 Trat. yo disp. de residuos'!$G$7:$G$78,"-")</f>
        <v>kgCO2e/toneladas</v>
      </c>
      <c r="J649" s="764" t="str" cm="1">
        <f t="array" ref="J649">_xlfn.XLOOKUP(D649&amp;E649&amp;G649,'3.6 Trat. yo disp. de residuos'!$B$7:$B$78&amp;'3.6 Trat. yo disp. de residuos'!$C$7:$C$78&amp;'3.6 Trat. yo disp. de residuos'!$E$7:$E$78,'3.6 Trat. yo disp. de residuos'!$H$7:$H$78,"-")</f>
        <v>DEFRA 2024, Waste disposal</v>
      </c>
      <c r="K649" s="764" t="s">
        <v>102</v>
      </c>
      <c r="L649" s="768" t="s">
        <v>102</v>
      </c>
    </row>
    <row r="650" spans="2:12" ht="28.8">
      <c r="B650" s="764" t="s">
        <v>210</v>
      </c>
      <c r="C650" s="764" t="s">
        <v>84</v>
      </c>
      <c r="D650" s="764" t="s">
        <v>319</v>
      </c>
      <c r="E650" s="764" t="s">
        <v>332</v>
      </c>
      <c r="F650" s="764" t="s">
        <v>102</v>
      </c>
      <c r="G650" s="764" t="s">
        <v>107</v>
      </c>
      <c r="H650" s="769" cm="1">
        <f t="array" ref="H650">_xlfn.XLOOKUP(D650&amp;E650&amp;G650,'3.6 Trat. yo disp. de residuos'!$B$7:$B$78&amp;'3.6 Trat. yo disp. de residuos'!$C$7:$C$78&amp;'3.6 Trat. yo disp. de residuos'!$E$7:$E$78,'3.6 Trat. yo disp. de residuos'!$F$7:$F$78,"-")</f>
        <v>6.4106099999999997E-3</v>
      </c>
      <c r="I650" s="764" t="str" cm="1">
        <f t="array" ref="I650">_xlfn.XLOOKUP(D650&amp;E650&amp;G650,'3.6 Trat. yo disp. de residuos'!$B$7:$B$78&amp;'3.6 Trat. yo disp. de residuos'!$C$7:$C$78&amp;'3.6 Trat. yo disp. de residuos'!$E$7:$E$78,'3.6 Trat. yo disp. de residuos'!$G$7:$G$78,"-")</f>
        <v>kgCO2e/kilogramos</v>
      </c>
      <c r="J650" s="764" t="str" cm="1">
        <f t="array" ref="J650">_xlfn.XLOOKUP(D650&amp;E650&amp;G650,'3.6 Trat. yo disp. de residuos'!$B$7:$B$78&amp;'3.6 Trat. yo disp. de residuos'!$C$7:$C$78&amp;'3.6 Trat. yo disp. de residuos'!$E$7:$E$78,'3.6 Trat. yo disp. de residuos'!$H$7:$H$78,"-")</f>
        <v>DEFRA 2024, Waste disposal</v>
      </c>
      <c r="K650" s="764" t="s">
        <v>102</v>
      </c>
      <c r="L650" s="768" t="s">
        <v>102</v>
      </c>
    </row>
    <row r="651" spans="2:12" ht="28.8">
      <c r="B651" s="764" t="s">
        <v>210</v>
      </c>
      <c r="C651" s="764" t="s">
        <v>84</v>
      </c>
      <c r="D651" s="764" t="s">
        <v>319</v>
      </c>
      <c r="E651" s="764" t="s">
        <v>332</v>
      </c>
      <c r="F651" s="764" t="s">
        <v>102</v>
      </c>
      <c r="G651" s="764" t="s">
        <v>108</v>
      </c>
      <c r="H651" s="776" cm="1">
        <f t="array" ref="H651">_xlfn.XLOOKUP(D651&amp;E651&amp;G651,'3.6 Trat. yo disp. de residuos'!$B$7:$B$78&amp;'3.6 Trat. yo disp. de residuos'!$C$7:$C$78&amp;'3.6 Trat. yo disp. de residuos'!$E$7:$E$78,'3.6 Trat. yo disp. de residuos'!$F$7:$F$78,"-")</f>
        <v>6.4106099999999999E-6</v>
      </c>
      <c r="I651" s="764" t="str" cm="1">
        <f t="array" ref="I651">_xlfn.XLOOKUP(D651&amp;E651&amp;G651,'3.6 Trat. yo disp. de residuos'!$B$7:$B$78&amp;'3.6 Trat. yo disp. de residuos'!$C$7:$C$78&amp;'3.6 Trat. yo disp. de residuos'!$E$7:$E$78,'3.6 Trat. yo disp. de residuos'!$G$7:$G$78,"-")</f>
        <v>kgCO2e/gramos</v>
      </c>
      <c r="J651" s="764" t="str" cm="1">
        <f t="array" ref="J651">_xlfn.XLOOKUP(D651&amp;E651&amp;G651,'3.6 Trat. yo disp. de residuos'!$B$7:$B$78&amp;'3.6 Trat. yo disp. de residuos'!$C$7:$C$78&amp;'3.6 Trat. yo disp. de residuos'!$E$7:$E$78,'3.6 Trat. yo disp. de residuos'!$H$7:$H$78,"-")</f>
        <v>DEFRA 2024, Waste disposal</v>
      </c>
      <c r="K651" s="764" t="s">
        <v>102</v>
      </c>
      <c r="L651" s="768" t="s">
        <v>102</v>
      </c>
    </row>
    <row r="652" spans="2:12" ht="28.8">
      <c r="B652" s="764" t="s">
        <v>210</v>
      </c>
      <c r="C652" s="764" t="s">
        <v>84</v>
      </c>
      <c r="D652" s="764" t="s">
        <v>319</v>
      </c>
      <c r="E652" s="764" t="s">
        <v>333</v>
      </c>
      <c r="F652" s="764" t="s">
        <v>102</v>
      </c>
      <c r="G652" s="764" t="s">
        <v>106</v>
      </c>
      <c r="H652" s="765" cm="1">
        <f t="array" ref="H652">_xlfn.XLOOKUP(D652&amp;E652&amp;G652,'3.6 Trat. yo disp. de residuos'!$B$7:$B$78&amp;'3.6 Trat. yo disp. de residuos'!$C$7:$C$78&amp;'3.6 Trat. yo disp. de residuos'!$E$7:$E$78,'3.6 Trat. yo disp. de residuos'!$F$7:$F$78,"-")</f>
        <v>6.4106100000000001</v>
      </c>
      <c r="I652" s="764" t="str" cm="1">
        <f t="array" ref="I652">_xlfn.XLOOKUP(D652&amp;E652&amp;G652,'3.6 Trat. yo disp. de residuos'!$B$7:$B$78&amp;'3.6 Trat. yo disp. de residuos'!$C$7:$C$78&amp;'3.6 Trat. yo disp. de residuos'!$E$7:$E$78,'3.6 Trat. yo disp. de residuos'!$G$7:$G$78,"-")</f>
        <v>kgCO2e/toneladas</v>
      </c>
      <c r="J652" s="764" t="str" cm="1">
        <f t="array" ref="J652">_xlfn.XLOOKUP(D652&amp;E652&amp;G652,'3.6 Trat. yo disp. de residuos'!$B$7:$B$78&amp;'3.6 Trat. yo disp. de residuos'!$C$7:$C$78&amp;'3.6 Trat. yo disp. de residuos'!$E$7:$E$78,'3.6 Trat. yo disp. de residuos'!$H$7:$H$78,"-")</f>
        <v>DEFRA 2024, Waste disposal</v>
      </c>
      <c r="K652" s="764" t="s">
        <v>102</v>
      </c>
      <c r="L652" s="768" t="s">
        <v>102</v>
      </c>
    </row>
    <row r="653" spans="2:12" ht="28.8">
      <c r="B653" s="764" t="s">
        <v>210</v>
      </c>
      <c r="C653" s="764" t="s">
        <v>84</v>
      </c>
      <c r="D653" s="764" t="s">
        <v>319</v>
      </c>
      <c r="E653" s="764" t="s">
        <v>333</v>
      </c>
      <c r="F653" s="764" t="s">
        <v>102</v>
      </c>
      <c r="G653" s="764" t="s">
        <v>107</v>
      </c>
      <c r="H653" s="769" cm="1">
        <f t="array" ref="H653">_xlfn.XLOOKUP(D653&amp;E653&amp;G653,'3.6 Trat. yo disp. de residuos'!$B$7:$B$78&amp;'3.6 Trat. yo disp. de residuos'!$C$7:$C$78&amp;'3.6 Trat. yo disp. de residuos'!$E$7:$E$78,'3.6 Trat. yo disp. de residuos'!$F$7:$F$78,"-")</f>
        <v>6.4106099999999997E-3</v>
      </c>
      <c r="I653" s="764" t="str" cm="1">
        <f t="array" ref="I653">_xlfn.XLOOKUP(D653&amp;E653&amp;G653,'3.6 Trat. yo disp. de residuos'!$B$7:$B$78&amp;'3.6 Trat. yo disp. de residuos'!$C$7:$C$78&amp;'3.6 Trat. yo disp. de residuos'!$E$7:$E$78,'3.6 Trat. yo disp. de residuos'!$G$7:$G$78,"-")</f>
        <v>kgCO2e/kilogramos</v>
      </c>
      <c r="J653" s="764" t="str" cm="1">
        <f t="array" ref="J653">_xlfn.XLOOKUP(D653&amp;E653&amp;G653,'3.6 Trat. yo disp. de residuos'!$B$7:$B$78&amp;'3.6 Trat. yo disp. de residuos'!$C$7:$C$78&amp;'3.6 Trat. yo disp. de residuos'!$E$7:$E$78,'3.6 Trat. yo disp. de residuos'!$H$7:$H$78,"-")</f>
        <v>DEFRA 2024, Waste disposal</v>
      </c>
      <c r="K653" s="764" t="s">
        <v>102</v>
      </c>
      <c r="L653" s="768" t="s">
        <v>102</v>
      </c>
    </row>
    <row r="654" spans="2:12" ht="28.8">
      <c r="B654" s="764" t="s">
        <v>210</v>
      </c>
      <c r="C654" s="764" t="s">
        <v>84</v>
      </c>
      <c r="D654" s="764" t="s">
        <v>319</v>
      </c>
      <c r="E654" s="764" t="s">
        <v>333</v>
      </c>
      <c r="F654" s="764" t="s">
        <v>102</v>
      </c>
      <c r="G654" s="764" t="s">
        <v>108</v>
      </c>
      <c r="H654" s="776" cm="1">
        <f t="array" ref="H654">_xlfn.XLOOKUP(D654&amp;E654&amp;G654,'3.6 Trat. yo disp. de residuos'!$B$7:$B$78&amp;'3.6 Trat. yo disp. de residuos'!$C$7:$C$78&amp;'3.6 Trat. yo disp. de residuos'!$E$7:$E$78,'3.6 Trat. yo disp. de residuos'!$F$7:$F$78,"-")</f>
        <v>6.4106099999999999E-6</v>
      </c>
      <c r="I654" s="764" t="str" cm="1">
        <f t="array" ref="I654">_xlfn.XLOOKUP(D654&amp;E654&amp;G654,'3.6 Trat. yo disp. de residuos'!$B$7:$B$78&amp;'3.6 Trat. yo disp. de residuos'!$C$7:$C$78&amp;'3.6 Trat. yo disp. de residuos'!$E$7:$E$78,'3.6 Trat. yo disp. de residuos'!$G$7:$G$78,"-")</f>
        <v>kgCO2e/gramos</v>
      </c>
      <c r="J654" s="764" t="str" cm="1">
        <f t="array" ref="J654">_xlfn.XLOOKUP(D654&amp;E654&amp;G654,'3.6 Trat. yo disp. de residuos'!$B$7:$B$78&amp;'3.6 Trat. yo disp. de residuos'!$C$7:$C$78&amp;'3.6 Trat. yo disp. de residuos'!$E$7:$E$78,'3.6 Trat. yo disp. de residuos'!$H$7:$H$78,"-")</f>
        <v>DEFRA 2024, Waste disposal</v>
      </c>
      <c r="K654" s="764" t="s">
        <v>102</v>
      </c>
      <c r="L654" s="768" t="s">
        <v>102</v>
      </c>
    </row>
    <row r="655" spans="2:12" ht="28.8">
      <c r="B655" s="764" t="s">
        <v>210</v>
      </c>
      <c r="C655" s="764" t="s">
        <v>84</v>
      </c>
      <c r="D655" s="764" t="s">
        <v>319</v>
      </c>
      <c r="E655" s="764" t="s">
        <v>334</v>
      </c>
      <c r="F655" s="764" t="s">
        <v>102</v>
      </c>
      <c r="G655" s="764" t="s">
        <v>106</v>
      </c>
      <c r="H655" s="765" cm="1">
        <f t="array" ref="H655">_xlfn.XLOOKUP(D655&amp;E655&amp;G655,'3.6 Trat. yo disp. de residuos'!$B$7:$B$78&amp;'3.6 Trat. yo disp. de residuos'!$C$7:$C$78&amp;'3.6 Trat. yo disp. de residuos'!$E$7:$E$78,'3.6 Trat. yo disp. de residuos'!$F$7:$F$78,"-")</f>
        <v>6.4106100000000001</v>
      </c>
      <c r="I655" s="764" t="str" cm="1">
        <f t="array" ref="I655">_xlfn.XLOOKUP(D655&amp;E655&amp;G655,'3.6 Trat. yo disp. de residuos'!$B$7:$B$78&amp;'3.6 Trat. yo disp. de residuos'!$C$7:$C$78&amp;'3.6 Trat. yo disp. de residuos'!$E$7:$E$78,'3.6 Trat. yo disp. de residuos'!$G$7:$G$78,"-")</f>
        <v>kgCO2e/toneladas</v>
      </c>
      <c r="J655" s="764" t="str" cm="1">
        <f t="array" ref="J655">_xlfn.XLOOKUP(D655&amp;E655&amp;G655,'3.6 Trat. yo disp. de residuos'!$B$7:$B$78&amp;'3.6 Trat. yo disp. de residuos'!$C$7:$C$78&amp;'3.6 Trat. yo disp. de residuos'!$E$7:$E$78,'3.6 Trat. yo disp. de residuos'!$H$7:$H$78,"-")</f>
        <v>DEFRA 2024, Waste disposal</v>
      </c>
      <c r="K655" s="764" t="s">
        <v>102</v>
      </c>
      <c r="L655" s="768" t="s">
        <v>102</v>
      </c>
    </row>
    <row r="656" spans="2:12" ht="28.8">
      <c r="B656" s="764" t="s">
        <v>210</v>
      </c>
      <c r="C656" s="764" t="s">
        <v>84</v>
      </c>
      <c r="D656" s="764" t="s">
        <v>319</v>
      </c>
      <c r="E656" s="764" t="s">
        <v>334</v>
      </c>
      <c r="F656" s="764" t="s">
        <v>102</v>
      </c>
      <c r="G656" s="764" t="s">
        <v>107</v>
      </c>
      <c r="H656" s="769" cm="1">
        <f t="array" ref="H656">_xlfn.XLOOKUP(D656&amp;E656&amp;G656,'3.6 Trat. yo disp. de residuos'!$B$7:$B$78&amp;'3.6 Trat. yo disp. de residuos'!$C$7:$C$78&amp;'3.6 Trat. yo disp. de residuos'!$E$7:$E$78,'3.6 Trat. yo disp. de residuos'!$F$7:$F$78,"-")</f>
        <v>6.4106099999999997E-3</v>
      </c>
      <c r="I656" s="764" t="str" cm="1">
        <f t="array" ref="I656">_xlfn.XLOOKUP(D656&amp;E656&amp;G656,'3.6 Trat. yo disp. de residuos'!$B$7:$B$78&amp;'3.6 Trat. yo disp. de residuos'!$C$7:$C$78&amp;'3.6 Trat. yo disp. de residuos'!$E$7:$E$78,'3.6 Trat. yo disp. de residuos'!$G$7:$G$78,"-")</f>
        <v>kgCO2e/kilogramos</v>
      </c>
      <c r="J656" s="764" t="str" cm="1">
        <f t="array" ref="J656">_xlfn.XLOOKUP(D656&amp;E656&amp;G656,'3.6 Trat. yo disp. de residuos'!$B$7:$B$78&amp;'3.6 Trat. yo disp. de residuos'!$C$7:$C$78&amp;'3.6 Trat. yo disp. de residuos'!$E$7:$E$78,'3.6 Trat. yo disp. de residuos'!$H$7:$H$78,"-")</f>
        <v>DEFRA 2024, Waste disposal</v>
      </c>
      <c r="K656" s="764" t="s">
        <v>102</v>
      </c>
      <c r="L656" s="768" t="s">
        <v>102</v>
      </c>
    </row>
    <row r="657" spans="2:12" ht="28.8">
      <c r="B657" s="764" t="s">
        <v>210</v>
      </c>
      <c r="C657" s="764" t="s">
        <v>84</v>
      </c>
      <c r="D657" s="764" t="s">
        <v>319</v>
      </c>
      <c r="E657" s="764" t="s">
        <v>334</v>
      </c>
      <c r="F657" s="764" t="s">
        <v>102</v>
      </c>
      <c r="G657" s="764" t="s">
        <v>108</v>
      </c>
      <c r="H657" s="776" cm="1">
        <f t="array" ref="H657">_xlfn.XLOOKUP(D657&amp;E657&amp;G657,'3.6 Trat. yo disp. de residuos'!$B$7:$B$78&amp;'3.6 Trat. yo disp. de residuos'!$C$7:$C$78&amp;'3.6 Trat. yo disp. de residuos'!$E$7:$E$78,'3.6 Trat. yo disp. de residuos'!$F$7:$F$78,"-")</f>
        <v>6.4106099999999999E-6</v>
      </c>
      <c r="I657" s="764" t="str" cm="1">
        <f t="array" ref="I657">_xlfn.XLOOKUP(D657&amp;E657&amp;G657,'3.6 Trat. yo disp. de residuos'!$B$7:$B$78&amp;'3.6 Trat. yo disp. de residuos'!$C$7:$C$78&amp;'3.6 Trat. yo disp. de residuos'!$E$7:$E$78,'3.6 Trat. yo disp. de residuos'!$G$7:$G$78,"-")</f>
        <v>kgCO2e/gramos</v>
      </c>
      <c r="J657" s="764" t="str" cm="1">
        <f t="array" ref="J657">_xlfn.XLOOKUP(D657&amp;E657&amp;G657,'3.6 Trat. yo disp. de residuos'!$B$7:$B$78&amp;'3.6 Trat. yo disp. de residuos'!$C$7:$C$78&amp;'3.6 Trat. yo disp. de residuos'!$E$7:$E$78,'3.6 Trat. yo disp. de residuos'!$H$7:$H$78,"-")</f>
        <v>DEFRA 2024, Waste disposal</v>
      </c>
      <c r="K657" s="764" t="s">
        <v>102</v>
      </c>
      <c r="L657" s="768" t="s">
        <v>102</v>
      </c>
    </row>
    <row r="658" spans="2:12" ht="28.8">
      <c r="B658" s="764" t="s">
        <v>210</v>
      </c>
      <c r="C658" s="764" t="s">
        <v>84</v>
      </c>
      <c r="D658" s="764" t="s">
        <v>319</v>
      </c>
      <c r="E658" s="764" t="s">
        <v>335</v>
      </c>
      <c r="F658" s="764" t="s">
        <v>102</v>
      </c>
      <c r="G658" s="764" t="s">
        <v>106</v>
      </c>
      <c r="H658" s="765" cm="1">
        <f t="array" ref="H658">_xlfn.XLOOKUP(D658&amp;E658&amp;G658,'3.6 Trat. yo disp. de residuos'!$B$7:$B$78&amp;'3.6 Trat. yo disp. de residuos'!$C$7:$C$78&amp;'3.6 Trat. yo disp. de residuos'!$E$7:$E$78,'3.6 Trat. yo disp. de residuos'!$F$7:$F$78,"-")</f>
        <v>6.4106100000000001</v>
      </c>
      <c r="I658" s="764" t="str" cm="1">
        <f t="array" ref="I658">_xlfn.XLOOKUP(D658&amp;E658&amp;G658,'3.6 Trat. yo disp. de residuos'!$B$7:$B$78&amp;'3.6 Trat. yo disp. de residuos'!$C$7:$C$78&amp;'3.6 Trat. yo disp. de residuos'!$E$7:$E$78,'3.6 Trat. yo disp. de residuos'!$G$7:$G$78,"-")</f>
        <v>kgCO2e/toneladas</v>
      </c>
      <c r="J658" s="764" t="str" cm="1">
        <f t="array" ref="J658">_xlfn.XLOOKUP(D658&amp;E658&amp;G658,'3.6 Trat. yo disp. de residuos'!$B$7:$B$78&amp;'3.6 Trat. yo disp. de residuos'!$C$7:$C$78&amp;'3.6 Trat. yo disp. de residuos'!$E$7:$E$78,'3.6 Trat. yo disp. de residuos'!$H$7:$H$78,"-")</f>
        <v>DEFRA 2024, Waste disposal</v>
      </c>
      <c r="K658" s="764" t="s">
        <v>102</v>
      </c>
      <c r="L658" s="768" t="s">
        <v>102</v>
      </c>
    </row>
    <row r="659" spans="2:12" ht="28.8">
      <c r="B659" s="764" t="s">
        <v>210</v>
      </c>
      <c r="C659" s="764" t="s">
        <v>84</v>
      </c>
      <c r="D659" s="764" t="s">
        <v>319</v>
      </c>
      <c r="E659" s="764" t="s">
        <v>335</v>
      </c>
      <c r="F659" s="764" t="s">
        <v>102</v>
      </c>
      <c r="G659" s="764" t="s">
        <v>107</v>
      </c>
      <c r="H659" s="769" cm="1">
        <f t="array" ref="H659">_xlfn.XLOOKUP(D659&amp;E659&amp;G659,'3.6 Trat. yo disp. de residuos'!$B$7:$B$78&amp;'3.6 Trat. yo disp. de residuos'!$C$7:$C$78&amp;'3.6 Trat. yo disp. de residuos'!$E$7:$E$78,'3.6 Trat. yo disp. de residuos'!$F$7:$F$78,"-")</f>
        <v>6.4106099999999997E-3</v>
      </c>
      <c r="I659" s="764" t="str" cm="1">
        <f t="array" ref="I659">_xlfn.XLOOKUP(D659&amp;E659&amp;G659,'3.6 Trat. yo disp. de residuos'!$B$7:$B$78&amp;'3.6 Trat. yo disp. de residuos'!$C$7:$C$78&amp;'3.6 Trat. yo disp. de residuos'!$E$7:$E$78,'3.6 Trat. yo disp. de residuos'!$G$7:$G$78,"-")</f>
        <v>kgCO2e/kilogramos</v>
      </c>
      <c r="J659" s="764" t="str" cm="1">
        <f t="array" ref="J659">_xlfn.XLOOKUP(D659&amp;E659&amp;G659,'3.6 Trat. yo disp. de residuos'!$B$7:$B$78&amp;'3.6 Trat. yo disp. de residuos'!$C$7:$C$78&amp;'3.6 Trat. yo disp. de residuos'!$E$7:$E$78,'3.6 Trat. yo disp. de residuos'!$H$7:$H$78,"-")</f>
        <v>DEFRA 2024, Waste disposal</v>
      </c>
      <c r="K659" s="764" t="s">
        <v>102</v>
      </c>
      <c r="L659" s="768" t="s">
        <v>102</v>
      </c>
    </row>
    <row r="660" spans="2:12" ht="28.8">
      <c r="B660" s="764" t="s">
        <v>210</v>
      </c>
      <c r="C660" s="764" t="s">
        <v>84</v>
      </c>
      <c r="D660" s="764" t="s">
        <v>319</v>
      </c>
      <c r="E660" s="764" t="s">
        <v>335</v>
      </c>
      <c r="F660" s="764" t="s">
        <v>102</v>
      </c>
      <c r="G660" s="764" t="s">
        <v>108</v>
      </c>
      <c r="H660" s="776" cm="1">
        <f t="array" ref="H660">_xlfn.XLOOKUP(D660&amp;E660&amp;G660,'3.6 Trat. yo disp. de residuos'!$B$7:$B$78&amp;'3.6 Trat. yo disp. de residuos'!$C$7:$C$78&amp;'3.6 Trat. yo disp. de residuos'!$E$7:$E$78,'3.6 Trat. yo disp. de residuos'!$F$7:$F$78,"-")</f>
        <v>6.4106099999999999E-6</v>
      </c>
      <c r="I660" s="764" t="str" cm="1">
        <f t="array" ref="I660">_xlfn.XLOOKUP(D660&amp;E660&amp;G660,'3.6 Trat. yo disp. de residuos'!$B$7:$B$78&amp;'3.6 Trat. yo disp. de residuos'!$C$7:$C$78&amp;'3.6 Trat. yo disp. de residuos'!$E$7:$E$78,'3.6 Trat. yo disp. de residuos'!$G$7:$G$78,"-")</f>
        <v>kgCO2e/gramos</v>
      </c>
      <c r="J660" s="764" t="str" cm="1">
        <f t="array" ref="J660">_xlfn.XLOOKUP(D660&amp;E660&amp;G660,'3.6 Trat. yo disp. de residuos'!$B$7:$B$78&amp;'3.6 Trat. yo disp. de residuos'!$C$7:$C$78&amp;'3.6 Trat. yo disp. de residuos'!$E$7:$E$78,'3.6 Trat. yo disp. de residuos'!$H$7:$H$78,"-")</f>
        <v>DEFRA 2024, Waste disposal</v>
      </c>
      <c r="K660" s="764" t="s">
        <v>102</v>
      </c>
      <c r="L660" s="768" t="s">
        <v>102</v>
      </c>
    </row>
    <row r="661" spans="2:12" ht="28.8">
      <c r="B661" s="764" t="s">
        <v>210</v>
      </c>
      <c r="C661" s="764" t="s">
        <v>84</v>
      </c>
      <c r="D661" s="764" t="s">
        <v>319</v>
      </c>
      <c r="E661" s="764" t="s">
        <v>336</v>
      </c>
      <c r="F661" s="764" t="s">
        <v>102</v>
      </c>
      <c r="G661" s="764" t="s">
        <v>106</v>
      </c>
      <c r="H661" s="765" cm="1">
        <f t="array" ref="H661">_xlfn.XLOOKUP(D661&amp;E661&amp;G661,'3.6 Trat. yo disp. de residuos'!$B$7:$B$78&amp;'3.6 Trat. yo disp. de residuos'!$C$7:$C$78&amp;'3.6 Trat. yo disp. de residuos'!$E$7:$E$78,'3.6 Trat. yo disp. de residuos'!$F$7:$F$78,"-")</f>
        <v>6.4106100000000001</v>
      </c>
      <c r="I661" s="764" t="str" cm="1">
        <f t="array" ref="I661">_xlfn.XLOOKUP(D661&amp;E661&amp;G661,'3.6 Trat. yo disp. de residuos'!$B$7:$B$78&amp;'3.6 Trat. yo disp. de residuos'!$C$7:$C$78&amp;'3.6 Trat. yo disp. de residuos'!$E$7:$E$78,'3.6 Trat. yo disp. de residuos'!$G$7:$G$78,"-")</f>
        <v>kgCO2e/toneladas</v>
      </c>
      <c r="J661" s="764" t="str" cm="1">
        <f t="array" ref="J661">_xlfn.XLOOKUP(D661&amp;E661&amp;G661,'3.6 Trat. yo disp. de residuos'!$B$7:$B$78&amp;'3.6 Trat. yo disp. de residuos'!$C$7:$C$78&amp;'3.6 Trat. yo disp. de residuos'!$E$7:$E$78,'3.6 Trat. yo disp. de residuos'!$H$7:$H$78,"-")</f>
        <v>DEFRA 2024, Waste disposal</v>
      </c>
      <c r="K661" s="764" t="s">
        <v>102</v>
      </c>
      <c r="L661" s="768" t="s">
        <v>102</v>
      </c>
    </row>
    <row r="662" spans="2:12" ht="28.8">
      <c r="B662" s="764" t="s">
        <v>210</v>
      </c>
      <c r="C662" s="764" t="s">
        <v>84</v>
      </c>
      <c r="D662" s="764" t="s">
        <v>319</v>
      </c>
      <c r="E662" s="764" t="s">
        <v>336</v>
      </c>
      <c r="F662" s="764" t="s">
        <v>102</v>
      </c>
      <c r="G662" s="764" t="s">
        <v>107</v>
      </c>
      <c r="H662" s="769" cm="1">
        <f t="array" ref="H662">_xlfn.XLOOKUP(D662&amp;E662&amp;G662,'3.6 Trat. yo disp. de residuos'!$B$7:$B$78&amp;'3.6 Trat. yo disp. de residuos'!$C$7:$C$78&amp;'3.6 Trat. yo disp. de residuos'!$E$7:$E$78,'3.6 Trat. yo disp. de residuos'!$F$7:$F$78,"-")</f>
        <v>6.4106099999999997E-3</v>
      </c>
      <c r="I662" s="764" t="str" cm="1">
        <f t="array" ref="I662">_xlfn.XLOOKUP(D662&amp;E662&amp;G662,'3.6 Trat. yo disp. de residuos'!$B$7:$B$78&amp;'3.6 Trat. yo disp. de residuos'!$C$7:$C$78&amp;'3.6 Trat. yo disp. de residuos'!$E$7:$E$78,'3.6 Trat. yo disp. de residuos'!$G$7:$G$78,"-")</f>
        <v>kgCO2e/kilogramos</v>
      </c>
      <c r="J662" s="764" t="str" cm="1">
        <f t="array" ref="J662">_xlfn.XLOOKUP(D662&amp;E662&amp;G662,'3.6 Trat. yo disp. de residuos'!$B$7:$B$78&amp;'3.6 Trat. yo disp. de residuos'!$C$7:$C$78&amp;'3.6 Trat. yo disp. de residuos'!$E$7:$E$78,'3.6 Trat. yo disp. de residuos'!$H$7:$H$78,"-")</f>
        <v>DEFRA 2024, Waste disposal</v>
      </c>
      <c r="K662" s="764" t="s">
        <v>102</v>
      </c>
      <c r="L662" s="768" t="s">
        <v>102</v>
      </c>
    </row>
    <row r="663" spans="2:12" ht="28.8">
      <c r="B663" s="764" t="s">
        <v>210</v>
      </c>
      <c r="C663" s="764" t="s">
        <v>84</v>
      </c>
      <c r="D663" s="764" t="s">
        <v>319</v>
      </c>
      <c r="E663" s="764" t="s">
        <v>336</v>
      </c>
      <c r="F663" s="764" t="s">
        <v>102</v>
      </c>
      <c r="G663" s="764" t="s">
        <v>108</v>
      </c>
      <c r="H663" s="776" cm="1">
        <f t="array" ref="H663">_xlfn.XLOOKUP(D663&amp;E663&amp;G663,'3.6 Trat. yo disp. de residuos'!$B$7:$B$78&amp;'3.6 Trat. yo disp. de residuos'!$C$7:$C$78&amp;'3.6 Trat. yo disp. de residuos'!$E$7:$E$78,'3.6 Trat. yo disp. de residuos'!$F$7:$F$78,"-")</f>
        <v>6.4106099999999999E-6</v>
      </c>
      <c r="I663" s="764" t="str" cm="1">
        <f t="array" ref="I663">_xlfn.XLOOKUP(D663&amp;E663&amp;G663,'3.6 Trat. yo disp. de residuos'!$B$7:$B$78&amp;'3.6 Trat. yo disp. de residuos'!$C$7:$C$78&amp;'3.6 Trat. yo disp. de residuos'!$E$7:$E$78,'3.6 Trat. yo disp. de residuos'!$G$7:$G$78,"-")</f>
        <v>kgCO2e/gramos</v>
      </c>
      <c r="J663" s="764" t="str" cm="1">
        <f t="array" ref="J663">_xlfn.XLOOKUP(D663&amp;E663&amp;G663,'3.6 Trat. yo disp. de residuos'!$B$7:$B$78&amp;'3.6 Trat. yo disp. de residuos'!$C$7:$C$78&amp;'3.6 Trat. yo disp. de residuos'!$E$7:$E$78,'3.6 Trat. yo disp. de residuos'!$H$7:$H$78,"-")</f>
        <v>DEFRA 2024, Waste disposal</v>
      </c>
      <c r="K663" s="764" t="s">
        <v>102</v>
      </c>
      <c r="L663" s="768" t="s">
        <v>102</v>
      </c>
    </row>
    <row r="664" spans="2:12" ht="28.8">
      <c r="B664" s="764" t="s">
        <v>210</v>
      </c>
      <c r="C664" s="764" t="s">
        <v>84</v>
      </c>
      <c r="D664" s="764" t="s">
        <v>337</v>
      </c>
      <c r="E664" s="764" t="s">
        <v>338</v>
      </c>
      <c r="F664" s="764" t="s">
        <v>102</v>
      </c>
      <c r="G664" s="764" t="s">
        <v>106</v>
      </c>
      <c r="H664" s="765" cm="1">
        <f t="array" ref="H664">_xlfn.XLOOKUP(D664&amp;E664&amp;G664,'3.6 Trat. yo disp. de residuos'!$B$7:$B$78&amp;'3.6 Trat. yo disp. de residuos'!$C$7:$C$78&amp;'3.6 Trat. yo disp. de residuos'!$E$7:$E$78,'3.6 Trat. yo disp. de residuos'!$F$7:$F$78,"-")</f>
        <v>8.8838600000000003</v>
      </c>
      <c r="I664" s="764" t="str" cm="1">
        <f t="array" ref="I664">_xlfn.XLOOKUP(D664&amp;E664&amp;G664,'3.6 Trat. yo disp. de residuos'!$B$7:$B$78&amp;'3.6 Trat. yo disp. de residuos'!$C$7:$C$78&amp;'3.6 Trat. yo disp. de residuos'!$E$7:$E$78,'3.6 Trat. yo disp. de residuos'!$G$7:$G$78,"-")</f>
        <v>kgCO2e/toneladas</v>
      </c>
      <c r="J664" s="764" t="str" cm="1">
        <f t="array" ref="J664">_xlfn.XLOOKUP(D664&amp;E664&amp;G664,'3.6 Trat. yo disp. de residuos'!$B$7:$B$78&amp;'3.6 Trat. yo disp. de residuos'!$C$7:$C$78&amp;'3.6 Trat. yo disp. de residuos'!$E$7:$E$78,'3.6 Trat. yo disp. de residuos'!$H$7:$H$78,"-")</f>
        <v>DEFRA 2024, Waste disposal</v>
      </c>
      <c r="K664" s="764" t="s">
        <v>102</v>
      </c>
      <c r="L664" s="768" t="s">
        <v>102</v>
      </c>
    </row>
    <row r="665" spans="2:12" ht="28.8">
      <c r="B665" s="764" t="s">
        <v>210</v>
      </c>
      <c r="C665" s="764" t="s">
        <v>84</v>
      </c>
      <c r="D665" s="764" t="s">
        <v>337</v>
      </c>
      <c r="E665" s="764" t="s">
        <v>338</v>
      </c>
      <c r="F665" s="764" t="s">
        <v>102</v>
      </c>
      <c r="G665" s="764" t="s">
        <v>107</v>
      </c>
      <c r="H665" s="769" cm="1">
        <f t="array" ref="H665">_xlfn.XLOOKUP(D665&amp;E665&amp;G665,'3.6 Trat. yo disp. de residuos'!$B$7:$B$78&amp;'3.6 Trat. yo disp. de residuos'!$C$7:$C$78&amp;'3.6 Trat. yo disp. de residuos'!$E$7:$E$78,'3.6 Trat. yo disp. de residuos'!$F$7:$F$78,"-")</f>
        <v>8.8838600000000004E-3</v>
      </c>
      <c r="I665" s="764" t="str" cm="1">
        <f t="array" ref="I665">_xlfn.XLOOKUP(D665&amp;E665&amp;G665,'3.6 Trat. yo disp. de residuos'!$B$7:$B$78&amp;'3.6 Trat. yo disp. de residuos'!$C$7:$C$78&amp;'3.6 Trat. yo disp. de residuos'!$E$7:$E$78,'3.6 Trat. yo disp. de residuos'!$G$7:$G$78,"-")</f>
        <v>kgCO2e/kilogramos</v>
      </c>
      <c r="J665" s="764" t="str" cm="1">
        <f t="array" ref="J665">_xlfn.XLOOKUP(D665&amp;E665&amp;G665,'3.6 Trat. yo disp. de residuos'!$B$7:$B$78&amp;'3.6 Trat. yo disp. de residuos'!$C$7:$C$78&amp;'3.6 Trat. yo disp. de residuos'!$E$7:$E$78,'3.6 Trat. yo disp. de residuos'!$H$7:$H$78,"-")</f>
        <v>DEFRA 2024, Waste disposal</v>
      </c>
      <c r="K665" s="764" t="s">
        <v>102</v>
      </c>
      <c r="L665" s="768" t="s">
        <v>102</v>
      </c>
    </row>
    <row r="666" spans="2:12" ht="28.8">
      <c r="B666" s="764" t="s">
        <v>210</v>
      </c>
      <c r="C666" s="764" t="s">
        <v>84</v>
      </c>
      <c r="D666" s="764" t="s">
        <v>337</v>
      </c>
      <c r="E666" s="764" t="s">
        <v>338</v>
      </c>
      <c r="F666" s="764" t="s">
        <v>102</v>
      </c>
      <c r="G666" s="764" t="s">
        <v>108</v>
      </c>
      <c r="H666" s="776" cm="1">
        <f t="array" ref="H666">_xlfn.XLOOKUP(D666&amp;E666&amp;G666,'3.6 Trat. yo disp. de residuos'!$B$7:$B$78&amp;'3.6 Trat. yo disp. de residuos'!$C$7:$C$78&amp;'3.6 Trat. yo disp. de residuos'!$E$7:$E$78,'3.6 Trat. yo disp. de residuos'!$F$7:$F$78,"-")</f>
        <v>8.8838600000000004E-6</v>
      </c>
      <c r="I666" s="764" t="str" cm="1">
        <f t="array" ref="I666">_xlfn.XLOOKUP(D666&amp;E666&amp;G666,'3.6 Trat. yo disp. de residuos'!$B$7:$B$78&amp;'3.6 Trat. yo disp. de residuos'!$C$7:$C$78&amp;'3.6 Trat. yo disp. de residuos'!$E$7:$E$78,'3.6 Trat. yo disp. de residuos'!$G$7:$G$78,"-")</f>
        <v>kgCO2e/gramos</v>
      </c>
      <c r="J666" s="764" t="str" cm="1">
        <f t="array" ref="J666">_xlfn.XLOOKUP(D666&amp;E666&amp;G666,'3.6 Trat. yo disp. de residuos'!$B$7:$B$78&amp;'3.6 Trat. yo disp. de residuos'!$C$7:$C$78&amp;'3.6 Trat. yo disp. de residuos'!$E$7:$E$78,'3.6 Trat. yo disp. de residuos'!$H$7:$H$78,"-")</f>
        <v>DEFRA 2024, Waste disposal</v>
      </c>
      <c r="K666" s="764" t="s">
        <v>102</v>
      </c>
      <c r="L666" s="768" t="s">
        <v>102</v>
      </c>
    </row>
    <row r="667" spans="2:12" ht="28.8">
      <c r="B667" s="764" t="s">
        <v>210</v>
      </c>
      <c r="C667" s="764" t="s">
        <v>84</v>
      </c>
      <c r="D667" s="764" t="s">
        <v>339</v>
      </c>
      <c r="E667" s="764" t="s">
        <v>340</v>
      </c>
      <c r="F667" s="764" t="s">
        <v>102</v>
      </c>
      <c r="G667" s="764" t="s">
        <v>106</v>
      </c>
      <c r="H667" s="765" cm="1">
        <f t="array" ref="H667">_xlfn.XLOOKUP(D667&amp;E667&amp;G667,'3.6 Trat. yo disp. de residuos'!$B$7:$B$78&amp;'3.6 Trat. yo disp. de residuos'!$C$7:$C$78&amp;'3.6 Trat. yo disp. de residuos'!$E$7:$E$78,'3.6 Trat. yo disp. de residuos'!$F$7:$F$78,"-")</f>
        <v>520.33420000000001</v>
      </c>
      <c r="I667" s="764" t="str" cm="1">
        <f t="array" ref="I667">_xlfn.XLOOKUP(D667&amp;E667&amp;G667,'3.6 Trat. yo disp. de residuos'!$B$7:$B$78&amp;'3.6 Trat. yo disp. de residuos'!$C$7:$C$78&amp;'3.6 Trat. yo disp. de residuos'!$E$7:$E$78,'3.6 Trat. yo disp. de residuos'!$G$7:$G$78,"-")</f>
        <v>kgCO2e/toneladas</v>
      </c>
      <c r="J667" s="764" t="str" cm="1">
        <f t="array" ref="J667">_xlfn.XLOOKUP(D667&amp;E667&amp;G667,'3.6 Trat. yo disp. de residuos'!$B$7:$B$78&amp;'3.6 Trat. yo disp. de residuos'!$C$7:$C$78&amp;'3.6 Trat. yo disp. de residuos'!$E$7:$E$78,'3.6 Trat. yo disp. de residuos'!$H$7:$H$78,"-")</f>
        <v>DEFRA 2024, Waste disposal</v>
      </c>
      <c r="K667" s="764" t="s">
        <v>102</v>
      </c>
      <c r="L667" s="768" t="s">
        <v>102</v>
      </c>
    </row>
    <row r="668" spans="2:12" ht="28.8">
      <c r="B668" s="764" t="s">
        <v>210</v>
      </c>
      <c r="C668" s="764" t="s">
        <v>84</v>
      </c>
      <c r="D668" s="764" t="s">
        <v>339</v>
      </c>
      <c r="E668" s="764" t="s">
        <v>340</v>
      </c>
      <c r="F668" s="764" t="s">
        <v>102</v>
      </c>
      <c r="G668" s="764" t="s">
        <v>107</v>
      </c>
      <c r="H668" s="765" cm="1">
        <f t="array" ref="H668">_xlfn.XLOOKUP(D668&amp;E668&amp;G668,'3.6 Trat. yo disp. de residuos'!$B$7:$B$78&amp;'3.6 Trat. yo disp. de residuos'!$C$7:$C$78&amp;'3.6 Trat. yo disp. de residuos'!$E$7:$E$78,'3.6 Trat. yo disp. de residuos'!$F$7:$F$78,"-")</f>
        <v>0.52033419999999997</v>
      </c>
      <c r="I668" s="764" t="str" cm="1">
        <f t="array" ref="I668">_xlfn.XLOOKUP(D668&amp;E668&amp;G668,'3.6 Trat. yo disp. de residuos'!$B$7:$B$78&amp;'3.6 Trat. yo disp. de residuos'!$C$7:$C$78&amp;'3.6 Trat. yo disp. de residuos'!$E$7:$E$78,'3.6 Trat. yo disp. de residuos'!$G$7:$G$78,"-")</f>
        <v>kgCO2e/kilogramos</v>
      </c>
      <c r="J668" s="764" t="str" cm="1">
        <f t="array" ref="J668">_xlfn.XLOOKUP(D668&amp;E668&amp;G668,'3.6 Trat. yo disp. de residuos'!$B$7:$B$78&amp;'3.6 Trat. yo disp. de residuos'!$C$7:$C$78&amp;'3.6 Trat. yo disp. de residuos'!$E$7:$E$78,'3.6 Trat. yo disp. de residuos'!$H$7:$H$78,"-")</f>
        <v>DEFRA 2024, Waste disposal</v>
      </c>
      <c r="K668" s="764" t="s">
        <v>102</v>
      </c>
      <c r="L668" s="768" t="s">
        <v>102</v>
      </c>
    </row>
    <row r="669" spans="2:12" ht="28.8">
      <c r="B669" s="764" t="s">
        <v>210</v>
      </c>
      <c r="C669" s="764" t="s">
        <v>84</v>
      </c>
      <c r="D669" s="764" t="s">
        <v>339</v>
      </c>
      <c r="E669" s="764" t="s">
        <v>340</v>
      </c>
      <c r="F669" s="764" t="s">
        <v>102</v>
      </c>
      <c r="G669" s="764" t="s">
        <v>108</v>
      </c>
      <c r="H669" s="776" cm="1">
        <f t="array" ref="H669">_xlfn.XLOOKUP(D669&amp;E669&amp;G669,'3.6 Trat. yo disp. de residuos'!$B$7:$B$78&amp;'3.6 Trat. yo disp. de residuos'!$C$7:$C$78&amp;'3.6 Trat. yo disp. de residuos'!$E$7:$E$78,'3.6 Trat. yo disp. de residuos'!$F$7:$F$78,"-")</f>
        <v>5.2033419999999997E-4</v>
      </c>
      <c r="I669" s="764" t="str" cm="1">
        <f t="array" ref="I669">_xlfn.XLOOKUP(D669&amp;E669&amp;G669,'3.6 Trat. yo disp. de residuos'!$B$7:$B$78&amp;'3.6 Trat. yo disp. de residuos'!$C$7:$C$78&amp;'3.6 Trat. yo disp. de residuos'!$E$7:$E$78,'3.6 Trat. yo disp. de residuos'!$G$7:$G$78,"-")</f>
        <v>kgCO2e/gramos</v>
      </c>
      <c r="J669" s="764" t="str" cm="1">
        <f t="array" ref="J669">_xlfn.XLOOKUP(D669&amp;E669&amp;G669,'3.6 Trat. yo disp. de residuos'!$B$7:$B$78&amp;'3.6 Trat. yo disp. de residuos'!$C$7:$C$78&amp;'3.6 Trat. yo disp. de residuos'!$E$7:$E$78,'3.6 Trat. yo disp. de residuos'!$H$7:$H$78,"-")</f>
        <v>DEFRA 2024, Waste disposal</v>
      </c>
      <c r="K669" s="764" t="s">
        <v>102</v>
      </c>
      <c r="L669" s="768" t="s">
        <v>102</v>
      </c>
    </row>
    <row r="670" spans="2:12" ht="28.8">
      <c r="B670" s="764" t="s">
        <v>210</v>
      </c>
      <c r="C670" s="764" t="s">
        <v>84</v>
      </c>
      <c r="D670" s="764" t="s">
        <v>339</v>
      </c>
      <c r="E670" s="764" t="s">
        <v>341</v>
      </c>
      <c r="F670" s="764" t="s">
        <v>102</v>
      </c>
      <c r="G670" s="764" t="s">
        <v>106</v>
      </c>
      <c r="H670" s="765" cm="1">
        <f t="array" ref="H670">_xlfn.XLOOKUP(D670&amp;E670&amp;G670,'3.6 Trat. yo disp. de residuos'!$B$7:$B$78&amp;'3.6 Trat. yo disp. de residuos'!$C$7:$C$78&amp;'3.6 Trat. yo disp. de residuos'!$E$7:$E$78,'3.6 Trat. yo disp. de residuos'!$F$7:$F$78,"-")</f>
        <v>497.04415999999998</v>
      </c>
      <c r="I670" s="764" t="str" cm="1">
        <f t="array" ref="I670">_xlfn.XLOOKUP(D670&amp;E670&amp;G670,'3.6 Trat. yo disp. de residuos'!$B$7:$B$78&amp;'3.6 Trat. yo disp. de residuos'!$C$7:$C$78&amp;'3.6 Trat. yo disp. de residuos'!$E$7:$E$78,'3.6 Trat. yo disp. de residuos'!$G$7:$G$78,"-")</f>
        <v>kgCO2e/toneladas</v>
      </c>
      <c r="J670" s="764" t="str" cm="1">
        <f t="array" ref="J670">_xlfn.XLOOKUP(D670&amp;E670&amp;G670,'3.6 Trat. yo disp. de residuos'!$B$7:$B$78&amp;'3.6 Trat. yo disp. de residuos'!$C$7:$C$78&amp;'3.6 Trat. yo disp. de residuos'!$E$7:$E$78,'3.6 Trat. yo disp. de residuos'!$H$7:$H$78,"-")</f>
        <v>DEFRA 2024, Waste disposal</v>
      </c>
      <c r="K670" s="764" t="s">
        <v>102</v>
      </c>
      <c r="L670" s="768" t="s">
        <v>102</v>
      </c>
    </row>
    <row r="671" spans="2:12" ht="28.8">
      <c r="B671" s="764" t="s">
        <v>210</v>
      </c>
      <c r="C671" s="764" t="s">
        <v>84</v>
      </c>
      <c r="D671" s="764" t="s">
        <v>339</v>
      </c>
      <c r="E671" s="764" t="s">
        <v>341</v>
      </c>
      <c r="F671" s="764" t="s">
        <v>102</v>
      </c>
      <c r="G671" s="764" t="s">
        <v>107</v>
      </c>
      <c r="H671" s="771" cm="1">
        <f t="array" ref="H671">_xlfn.XLOOKUP(D671&amp;E671&amp;G671,'3.6 Trat. yo disp. de residuos'!$B$7:$B$78&amp;'3.6 Trat. yo disp. de residuos'!$C$7:$C$78&amp;'3.6 Trat. yo disp. de residuos'!$E$7:$E$78,'3.6 Trat. yo disp. de residuos'!$F$7:$F$78,"-")</f>
        <v>0.49704415999999996</v>
      </c>
      <c r="I671" s="764" t="str" cm="1">
        <f t="array" ref="I671">_xlfn.XLOOKUP(D671&amp;E671&amp;G671,'3.6 Trat. yo disp. de residuos'!$B$7:$B$78&amp;'3.6 Trat. yo disp. de residuos'!$C$7:$C$78&amp;'3.6 Trat. yo disp. de residuos'!$E$7:$E$78,'3.6 Trat. yo disp. de residuos'!$G$7:$G$78,"-")</f>
        <v>kgCO2e/kilogramos</v>
      </c>
      <c r="J671" s="764" t="str" cm="1">
        <f t="array" ref="J671">_xlfn.XLOOKUP(D671&amp;E671&amp;G671,'3.6 Trat. yo disp. de residuos'!$B$7:$B$78&amp;'3.6 Trat. yo disp. de residuos'!$C$7:$C$78&amp;'3.6 Trat. yo disp. de residuos'!$E$7:$E$78,'3.6 Trat. yo disp. de residuos'!$H$7:$H$78,"-")</f>
        <v>DEFRA 2024, Waste disposal</v>
      </c>
      <c r="K671" s="764" t="s">
        <v>102</v>
      </c>
      <c r="L671" s="768" t="s">
        <v>102</v>
      </c>
    </row>
    <row r="672" spans="2:12" ht="28.8">
      <c r="B672" s="764" t="s">
        <v>210</v>
      </c>
      <c r="C672" s="764" t="s">
        <v>84</v>
      </c>
      <c r="D672" s="764" t="s">
        <v>339</v>
      </c>
      <c r="E672" s="764" t="s">
        <v>341</v>
      </c>
      <c r="F672" s="764" t="s">
        <v>102</v>
      </c>
      <c r="G672" s="764" t="s">
        <v>108</v>
      </c>
      <c r="H672" s="776" cm="1">
        <f t="array" ref="H672">_xlfn.XLOOKUP(D672&amp;E672&amp;G672,'3.6 Trat. yo disp. de residuos'!$B$7:$B$78&amp;'3.6 Trat. yo disp. de residuos'!$C$7:$C$78&amp;'3.6 Trat. yo disp. de residuos'!$E$7:$E$78,'3.6 Trat. yo disp. de residuos'!$F$7:$F$78,"-")</f>
        <v>4.9704415999999999E-4</v>
      </c>
      <c r="I672" s="764" t="str" cm="1">
        <f t="array" ref="I672">_xlfn.XLOOKUP(D672&amp;E672&amp;G672,'3.6 Trat. yo disp. de residuos'!$B$7:$B$78&amp;'3.6 Trat. yo disp. de residuos'!$C$7:$C$78&amp;'3.6 Trat. yo disp. de residuos'!$E$7:$E$78,'3.6 Trat. yo disp. de residuos'!$G$7:$G$78,"-")</f>
        <v>kgCO2e/gramos</v>
      </c>
      <c r="J672" s="764" t="str" cm="1">
        <f t="array" ref="J672">_xlfn.XLOOKUP(D672&amp;E672&amp;G672,'3.6 Trat. yo disp. de residuos'!$B$7:$B$78&amp;'3.6 Trat. yo disp. de residuos'!$C$7:$C$78&amp;'3.6 Trat. yo disp. de residuos'!$E$7:$E$78,'3.6 Trat. yo disp. de residuos'!$H$7:$H$78,"-")</f>
        <v>DEFRA 2024, Waste disposal</v>
      </c>
      <c r="K672" s="764" t="s">
        <v>102</v>
      </c>
      <c r="L672" s="768" t="s">
        <v>102</v>
      </c>
    </row>
    <row r="673" spans="2:12" ht="28.8">
      <c r="B673" s="764" t="s">
        <v>210</v>
      </c>
      <c r="C673" s="764" t="s">
        <v>84</v>
      </c>
      <c r="D673" s="764" t="s">
        <v>342</v>
      </c>
      <c r="E673" s="764" t="s">
        <v>340</v>
      </c>
      <c r="F673" s="764" t="s">
        <v>102</v>
      </c>
      <c r="G673" s="764" t="s">
        <v>106</v>
      </c>
      <c r="H673" s="765" cm="1">
        <f t="array" ref="H673">_xlfn.XLOOKUP(D673&amp;E673&amp;G673,'3.6 Trat. yo disp. de residuos'!$B$7:$B$78&amp;'3.6 Trat. yo disp. de residuos'!$C$7:$C$78&amp;'3.6 Trat. yo disp. de residuos'!$E$7:$E$78,'3.6 Trat. yo disp. de residuos'!$F$7:$F$78,"-")</f>
        <v>520.33420000000001</v>
      </c>
      <c r="I673" s="764" t="str" cm="1">
        <f t="array" ref="I673">_xlfn.XLOOKUP(D673&amp;E673&amp;G673,'3.6 Trat. yo disp. de residuos'!$B$7:$B$78&amp;'3.6 Trat. yo disp. de residuos'!$C$7:$C$78&amp;'3.6 Trat. yo disp. de residuos'!$E$7:$E$78,'3.6 Trat. yo disp. de residuos'!$G$7:$G$78,"-")</f>
        <v>kgCO2e/toneladas</v>
      </c>
      <c r="J673" s="764" t="str" cm="1">
        <f t="array" ref="J673">_xlfn.XLOOKUP(D673&amp;E673&amp;G673,'3.6 Trat. yo disp. de residuos'!$B$7:$B$78&amp;'3.6 Trat. yo disp. de residuos'!$C$7:$C$78&amp;'3.6 Trat. yo disp. de residuos'!$E$7:$E$78,'3.6 Trat. yo disp. de residuos'!$H$7:$H$78,"-")</f>
        <v>DEFRA 2024, Waste disposal</v>
      </c>
      <c r="K673" s="764" t="s">
        <v>102</v>
      </c>
      <c r="L673" s="768" t="s">
        <v>102</v>
      </c>
    </row>
    <row r="674" spans="2:12" ht="28.8">
      <c r="B674" s="764" t="s">
        <v>210</v>
      </c>
      <c r="C674" s="764" t="s">
        <v>84</v>
      </c>
      <c r="D674" s="764" t="s">
        <v>342</v>
      </c>
      <c r="E674" s="764" t="s">
        <v>340</v>
      </c>
      <c r="F674" s="764" t="s">
        <v>102</v>
      </c>
      <c r="G674" s="764" t="s">
        <v>107</v>
      </c>
      <c r="H674" s="765" cm="1">
        <f t="array" ref="H674">_xlfn.XLOOKUP(D674&amp;E674&amp;G674,'3.6 Trat. yo disp. de residuos'!$B$7:$B$78&amp;'3.6 Trat. yo disp. de residuos'!$C$7:$C$78&amp;'3.6 Trat. yo disp. de residuos'!$E$7:$E$78,'3.6 Trat. yo disp. de residuos'!$F$7:$F$78,"-")</f>
        <v>0.52033419999999997</v>
      </c>
      <c r="I674" s="764" t="str" cm="1">
        <f t="array" ref="I674">_xlfn.XLOOKUP(D674&amp;E674&amp;G674,'3.6 Trat. yo disp. de residuos'!$B$7:$B$78&amp;'3.6 Trat. yo disp. de residuos'!$C$7:$C$78&amp;'3.6 Trat. yo disp. de residuos'!$E$7:$E$78,'3.6 Trat. yo disp. de residuos'!$G$7:$G$78,"-")</f>
        <v>kgCO2e/kilogramos</v>
      </c>
      <c r="J674" s="764" t="str" cm="1">
        <f t="array" ref="J674">_xlfn.XLOOKUP(D674&amp;E674&amp;G674,'3.6 Trat. yo disp. de residuos'!$B$7:$B$78&amp;'3.6 Trat. yo disp. de residuos'!$C$7:$C$78&amp;'3.6 Trat. yo disp. de residuos'!$E$7:$E$78,'3.6 Trat. yo disp. de residuos'!$H$7:$H$78,"-")</f>
        <v>DEFRA 2024, Waste disposal</v>
      </c>
      <c r="K674" s="764" t="s">
        <v>102</v>
      </c>
      <c r="L674" s="768" t="s">
        <v>102</v>
      </c>
    </row>
    <row r="675" spans="2:12" ht="28.8">
      <c r="B675" s="764" t="s">
        <v>210</v>
      </c>
      <c r="C675" s="764" t="s">
        <v>84</v>
      </c>
      <c r="D675" s="764" t="s">
        <v>342</v>
      </c>
      <c r="E675" s="764" t="s">
        <v>340</v>
      </c>
      <c r="F675" s="764" t="s">
        <v>102</v>
      </c>
      <c r="G675" s="764" t="s">
        <v>108</v>
      </c>
      <c r="H675" s="776" cm="1">
        <f t="array" ref="H675">_xlfn.XLOOKUP(D675&amp;E675&amp;G675,'3.6 Trat. yo disp. de residuos'!$B$7:$B$78&amp;'3.6 Trat. yo disp. de residuos'!$C$7:$C$78&amp;'3.6 Trat. yo disp. de residuos'!$E$7:$E$78,'3.6 Trat. yo disp. de residuos'!$F$7:$F$78,"-")</f>
        <v>5.2033419999999997E-4</v>
      </c>
      <c r="I675" s="764" t="str" cm="1">
        <f t="array" ref="I675">_xlfn.XLOOKUP(D675&amp;E675&amp;G675,'3.6 Trat. yo disp. de residuos'!$B$7:$B$78&amp;'3.6 Trat. yo disp. de residuos'!$C$7:$C$78&amp;'3.6 Trat. yo disp. de residuos'!$E$7:$E$78,'3.6 Trat. yo disp. de residuos'!$G$7:$G$78,"-")</f>
        <v>kgCO2e/gramos</v>
      </c>
      <c r="J675" s="764" t="str" cm="1">
        <f t="array" ref="J675">_xlfn.XLOOKUP(D675&amp;E675&amp;G675,'3.6 Trat. yo disp. de residuos'!$B$7:$B$78&amp;'3.6 Trat. yo disp. de residuos'!$C$7:$C$78&amp;'3.6 Trat. yo disp. de residuos'!$E$7:$E$78,'3.6 Trat. yo disp. de residuos'!$H$7:$H$78,"-")</f>
        <v>DEFRA 2024, Waste disposal</v>
      </c>
      <c r="K675" s="764" t="s">
        <v>102</v>
      </c>
      <c r="L675" s="768" t="s">
        <v>102</v>
      </c>
    </row>
    <row r="676" spans="2:12" ht="28.8">
      <c r="B676" s="764" t="s">
        <v>210</v>
      </c>
      <c r="C676" s="764" t="s">
        <v>84</v>
      </c>
      <c r="D676" s="764" t="s">
        <v>342</v>
      </c>
      <c r="E676" s="764" t="s">
        <v>341</v>
      </c>
      <c r="F676" s="764" t="s">
        <v>102</v>
      </c>
      <c r="G676" s="764" t="s">
        <v>106</v>
      </c>
      <c r="H676" s="765" cm="1">
        <f t="array" ref="H676">_xlfn.XLOOKUP(D676&amp;E676&amp;G676,'3.6 Trat. yo disp. de residuos'!$B$7:$B$78&amp;'3.6 Trat. yo disp. de residuos'!$C$7:$C$78&amp;'3.6 Trat. yo disp. de residuos'!$E$7:$E$78,'3.6 Trat. yo disp. de residuos'!$F$7:$F$78,"-")</f>
        <v>497.04415999999998</v>
      </c>
      <c r="I676" s="764" t="str" cm="1">
        <f t="array" ref="I676">_xlfn.XLOOKUP(D676&amp;E676&amp;G676,'3.6 Trat. yo disp. de residuos'!$B$7:$B$78&amp;'3.6 Trat. yo disp. de residuos'!$C$7:$C$78&amp;'3.6 Trat. yo disp. de residuos'!$E$7:$E$78,'3.6 Trat. yo disp. de residuos'!$G$7:$G$78,"-")</f>
        <v>kgCO2e/toneladas</v>
      </c>
      <c r="J676" s="764" t="str" cm="1">
        <f t="array" ref="J676">_xlfn.XLOOKUP(D676&amp;E676&amp;G676,'3.6 Trat. yo disp. de residuos'!$B$7:$B$78&amp;'3.6 Trat. yo disp. de residuos'!$C$7:$C$78&amp;'3.6 Trat. yo disp. de residuos'!$E$7:$E$78,'3.6 Trat. yo disp. de residuos'!$H$7:$H$78,"-")</f>
        <v>DEFRA 2024, Waste disposal</v>
      </c>
      <c r="K676" s="764" t="s">
        <v>102</v>
      </c>
      <c r="L676" s="768" t="s">
        <v>102</v>
      </c>
    </row>
    <row r="677" spans="2:12" ht="28.8">
      <c r="B677" s="764" t="s">
        <v>210</v>
      </c>
      <c r="C677" s="764" t="s">
        <v>84</v>
      </c>
      <c r="D677" s="764" t="s">
        <v>342</v>
      </c>
      <c r="E677" s="764" t="s">
        <v>341</v>
      </c>
      <c r="F677" s="764" t="s">
        <v>102</v>
      </c>
      <c r="G677" s="764" t="s">
        <v>107</v>
      </c>
      <c r="H677" s="771" cm="1">
        <f t="array" ref="H677">_xlfn.XLOOKUP(D677&amp;E677&amp;G677,'3.6 Trat. yo disp. de residuos'!$B$7:$B$78&amp;'3.6 Trat. yo disp. de residuos'!$C$7:$C$78&amp;'3.6 Trat. yo disp. de residuos'!$E$7:$E$78,'3.6 Trat. yo disp. de residuos'!$F$7:$F$78,"-")</f>
        <v>0.49704415999999996</v>
      </c>
      <c r="I677" s="764" t="str" cm="1">
        <f t="array" ref="I677">_xlfn.XLOOKUP(D677&amp;E677&amp;G677,'3.6 Trat. yo disp. de residuos'!$B$7:$B$78&amp;'3.6 Trat. yo disp. de residuos'!$C$7:$C$78&amp;'3.6 Trat. yo disp. de residuos'!$E$7:$E$78,'3.6 Trat. yo disp. de residuos'!$G$7:$G$78,"-")</f>
        <v>kgCO2e/kilogramos</v>
      </c>
      <c r="J677" s="764" t="str" cm="1">
        <f t="array" ref="J677">_xlfn.XLOOKUP(D677&amp;E677&amp;G677,'3.6 Trat. yo disp. de residuos'!$B$7:$B$78&amp;'3.6 Trat. yo disp. de residuos'!$C$7:$C$78&amp;'3.6 Trat. yo disp. de residuos'!$E$7:$E$78,'3.6 Trat. yo disp. de residuos'!$H$7:$H$78,"-")</f>
        <v>DEFRA 2024, Waste disposal</v>
      </c>
      <c r="K677" s="764" t="s">
        <v>102</v>
      </c>
      <c r="L677" s="768" t="s">
        <v>102</v>
      </c>
    </row>
    <row r="678" spans="2:12" ht="28.8">
      <c r="B678" s="764" t="s">
        <v>210</v>
      </c>
      <c r="C678" s="764" t="s">
        <v>84</v>
      </c>
      <c r="D678" s="764" t="s">
        <v>342</v>
      </c>
      <c r="E678" s="764" t="s">
        <v>341</v>
      </c>
      <c r="F678" s="764" t="s">
        <v>102</v>
      </c>
      <c r="G678" s="764" t="s">
        <v>108</v>
      </c>
      <c r="H678" s="776" cm="1">
        <f t="array" ref="H678">_xlfn.XLOOKUP(D678&amp;E678&amp;G678,'3.6 Trat. yo disp. de residuos'!$B$7:$B$78&amp;'3.6 Trat. yo disp. de residuos'!$C$7:$C$78&amp;'3.6 Trat. yo disp. de residuos'!$E$7:$E$78,'3.6 Trat. yo disp. de residuos'!$F$7:$F$78,"-")</f>
        <v>4.9704415999999999E-4</v>
      </c>
      <c r="I678" s="764" t="str" cm="1">
        <f t="array" ref="I678">_xlfn.XLOOKUP(D678&amp;E678&amp;G678,'3.6 Trat. yo disp. de residuos'!$B$7:$B$78&amp;'3.6 Trat. yo disp. de residuos'!$C$7:$C$78&amp;'3.6 Trat. yo disp. de residuos'!$E$7:$E$78,'3.6 Trat. yo disp. de residuos'!$G$7:$G$78,"-")</f>
        <v>kgCO2e/gramos</v>
      </c>
      <c r="J678" s="764" t="str" cm="1">
        <f t="array" ref="J678">_xlfn.XLOOKUP(D678&amp;E678&amp;G678,'3.6 Trat. yo disp. de residuos'!$B$7:$B$78&amp;'3.6 Trat. yo disp. de residuos'!$C$7:$C$78&amp;'3.6 Trat. yo disp. de residuos'!$E$7:$E$78,'3.6 Trat. yo disp. de residuos'!$H$7:$H$78,"-")</f>
        <v>DEFRA 2024, Waste disposal</v>
      </c>
      <c r="K678" s="764" t="s">
        <v>102</v>
      </c>
      <c r="L678" s="768" t="s">
        <v>102</v>
      </c>
    </row>
  </sheetData>
  <sheetProtection algorithmName="SHA-512" hashValue="9ZawyD16C2r+mDM6Dht4YgXR0THx7UVOj9lycpNHsxTlCE5O9C74x++Xn8OCo2TclyeDzzBLd5p5sRUWuSYQjQ==" saltValue="7kfZ7P47D/Xbh6p4N2KPXg==" spinCount="100000" sheet="1" objects="1" scenarios="1" autoFilter="0"/>
  <autoFilter ref="C8:L678" xr:uid="{5861B430-36FD-481E-B0B0-BE1E0AD92DD2}"/>
  <conditionalFormatting sqref="K11:L678 B9:J678">
    <cfRule type="cellIs" dxfId="41" priority="1" operator="equal">
      <formula>"Usuario ingresa FE propio"</formula>
    </cfRule>
    <cfRule type="cellIs" dxfId="40" priority="2" operator="equal">
      <formula>"Dudas por resolver"</formula>
    </cfRule>
    <cfRule type="cellIs" dxfId="39" priority="3" operator="equal">
      <formula>"Pendiente"</formula>
    </cfRule>
    <cfRule type="cellIs" dxfId="38" priority="4" operator="equal">
      <formula>"Listo"</formula>
    </cfRule>
  </conditionalFormatting>
  <conditionalFormatting sqref="H9:L9">
    <cfRule type="cellIs" dxfId="37" priority="33" operator="equal">
      <formula>"Usuario ingresa FE propio"</formula>
    </cfRule>
    <cfRule type="cellIs" dxfId="36" priority="34" operator="equal">
      <formula>"Dudas por resolver"</formula>
    </cfRule>
    <cfRule type="cellIs" dxfId="35" priority="35" operator="equal">
      <formula>"Pendiente"</formula>
    </cfRule>
    <cfRule type="cellIs" dxfId="34" priority="36" operator="equal">
      <formula>"Listo"</formula>
    </cfRule>
  </conditionalFormatting>
  <conditionalFormatting sqref="H11:L11 H13:L13 H15:L15 H17:L17 H19:L19 H21:L21 H24:L24 H26:L26 H28:L28 H30:L31 H33:L33 H35:L35 H37:L37 H39:L39 H41:L41 H43:L43 H45:L45 H48:L48 H50:L50 H52:L52 H54:L54 H56:L56 H58:L58 H60:L60 H62:L62 H64:L64 H66:L66 H68:L68 H70:L70 H72:L72 H74:L74 H76:L76 H78:L78 H80:L80 H82:L82 H84:L84 H86:L86 H88:L88 H90:L90 H92:L92 H94:L94 H96:L96 H98:L98 H100:L100 H102:L102 H104:L104 H106:L106 H108:L108 H110:L110 H112:L112 H114:L114 H116:L116 H118:L118 H120:L120 H122:L122 H124:L124 H126:L126 H128:L128 H130:L130 H132:L132 H134:L134 H136:L136 H138:L138 H140:L140 H142:L142 H144:L144 H146:L146 H148:L148 H150:L150 H152:L152 H154:L154 H156:L156 H158:L158 H160:L160 H162:L162 H164:L164 H166:L166 H168:L168 H170:L170 H172:L172 H174:L174 H176:L176 H178:L178 H180:L180 H182:L182 H184:L184 H186:L186 H188:L188 H190:L190 H192:L192 H194:L194 H196:L196 H198:L198 H200:L200 H202:L202 H204:L204 H206:L206 H208:L208 H210:L210 H212:L212 H214:L214 H216:L216 H218:L218 H220:L220 H222:L222 H224:L224 H226:L226 H228:L228 H230:L230 H232:L232 H234:L234 H236:L236 H238:L238 H240:L240 H242:L242 H244:L244 H246:L246 H248:L248 H250:L250 H252:L252 H254:L254 H256:L256 H258:L258 H260:L260 H262:L262 H264:L264 H266:L266 H268:L268 H270:L270 H272:L272 H274:L274 H276:L276 H278:L278 H280:L280 H282:L282 H284:L284 H286:L286 H288:L288 H290:L290 H292:L292 H294:L294 H296:L296 H298:L298 H300:L300 H302:L302 H304:L304 H306:L306 H308:L308 H310:L310 H312:L312 H314:L314 H316:L316 H318:L318 H320:L320 H322:L322 H324:L324 H326:L326 H328:L328 H330:L330 H332:L332 H334:L334 H336:L336 H338:L338 H340:L340 H342:L342 H344:L344 H346:L346 H348:L348 H350:L350 H352:L352 H354:L354 H356:L356 H358:L358 H360:L360 H362:L362 H364:L364 H366:L366 H368:L368 H370:L370 H372:L372 H374:L374 H376:L376 H378:L378 H380:L380 H382:L382 H384:L384 H386:L386 H388:L388 H390:L390 H392:L392 H394:L394 H396:L396 H398:L398 H400:L400 H402:L402 H404:L404 H406:L406 H408:L408 H410:L411 H413:L413 H415:L415 H417:L417 H419:L419 H421:L421 H423:L423 H425:L425 H427:L427 H429:L429 H431:L431 H433:L433 H435:L435 H437:L437 H439:L439 H441:L441 H443:L443 H445:L445 H447:L447 H449:L449 H451:L451 H453:L453 H455:L455 H457:L457 H459:L459 H461:L461 H463:L463 H465:L465 H467:L467 H469:L469 H471:L471 H473:L473 H475:L475 H477:L477 H479:L479 H481:L481 H483:L483 H485:L485 H487:L487 H489:L489 H491:L491 H493:L493 H495:L495 H497:L497 H499:L499 H501:L501 H503:L503 H505:L505 H507:L507 H509:L509 H511:L511 H513:L513 H515:L515 H517:L517 H519:L519 H521:L521 H523:L523 H525:L525 H527:L527 H529:L529 H531:L531 H533:L533 H535:L535 H537:L537 H539:L539 H541:L541 H543:L543 H545:L545 H547:L547 H549:L549 H551:L551 H553:L553 H555:L556 H558:L558 H560:L560 H562:L562 H565:L565 H567:L567 H569:L569 H571:L571 H573:L573 H575:L575 H577:L577 H579:L579 H581:L581 H583:L583 H585:L585 H587:L587 H589:L589 H591:L591 H593:L593 H595:L595 H597:L597 H599:L599 H601:L601 H603:L603 G605:L605 H607:L607 H609:L609 H611:L611 H613:L613 H615:L615 H617:L617 H619:L619 H621:L621 H623:L623 H625:L625 H627:L627 H629:L629 H631:L631 H633:L633 H635:L635 H637:L637 H639:L639 H641:L641 H643:L643 H645:L645 H647:L647 H649:L649 H651:L651 H653:L653 H655:L655 H657:L657 H659:L659 H661:L661 H663:L663 H665:L665 H667:L667 H669:L669 H671:L671 H673:L673 H675:L675 H677:L677">
    <cfRule type="cellIs" dxfId="33" priority="93" operator="equal">
      <formula>"Usuario ingresa FE propio"</formula>
    </cfRule>
    <cfRule type="cellIs" dxfId="32" priority="94" operator="equal">
      <formula>"Dudas por resolver"</formula>
    </cfRule>
    <cfRule type="cellIs" dxfId="31" priority="95" operator="equal">
      <formula>"Pendiente"</formula>
    </cfRule>
    <cfRule type="cellIs" dxfId="30" priority="96" operator="equal">
      <formula>"Listo"</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B1:Q10"/>
  <sheetViews>
    <sheetView showGridLines="0" workbookViewId="0"/>
  </sheetViews>
  <sheetFormatPr baseColWidth="10" defaultColWidth="11.44140625" defaultRowHeight="14.4"/>
  <cols>
    <col min="2" max="2" width="19" bestFit="1" customWidth="1"/>
    <col min="3" max="3" width="73.88671875" bestFit="1" customWidth="1"/>
    <col min="4" max="10" width="2.6640625" customWidth="1"/>
    <col min="12" max="12" width="16.88671875" customWidth="1"/>
    <col min="13" max="13" width="13.109375" customWidth="1"/>
    <col min="14" max="14" width="20.6640625" customWidth="1"/>
    <col min="15" max="15" width="16" customWidth="1"/>
    <col min="16" max="16" width="17.109375" customWidth="1"/>
  </cols>
  <sheetData>
    <row r="1" spans="2:17">
      <c r="B1" s="494" t="s">
        <v>668</v>
      </c>
      <c r="C1" s="161" t="s">
        <v>669</v>
      </c>
    </row>
    <row r="2" spans="2:17">
      <c r="B2" s="494" t="s">
        <v>346</v>
      </c>
      <c r="C2" s="161" t="s">
        <v>670</v>
      </c>
    </row>
    <row r="4" spans="2:17" ht="43.2">
      <c r="K4" s="494" t="s">
        <v>677</v>
      </c>
      <c r="L4" s="494" t="s">
        <v>678</v>
      </c>
      <c r="M4" s="494" t="s">
        <v>679</v>
      </c>
      <c r="N4" s="494" t="s">
        <v>680</v>
      </c>
      <c r="O4" s="494" t="s">
        <v>681</v>
      </c>
      <c r="P4" s="494" t="s">
        <v>682</v>
      </c>
      <c r="Q4" s="494" t="s">
        <v>683</v>
      </c>
    </row>
    <row r="5" spans="2:17">
      <c r="K5" s="421">
        <v>1</v>
      </c>
      <c r="L5" s="421">
        <v>0.78500000000000003</v>
      </c>
      <c r="M5" s="422">
        <v>0.88</v>
      </c>
      <c r="N5" s="421">
        <f>L5*M5</f>
        <v>0.69080000000000008</v>
      </c>
      <c r="O5" s="421">
        <v>1.02</v>
      </c>
      <c r="P5" s="421">
        <v>0.97</v>
      </c>
      <c r="Q5" s="421">
        <f>N5*O5*P5</f>
        <v>0.68347752000000006</v>
      </c>
    </row>
    <row r="6" spans="2:17">
      <c r="K6" s="421">
        <v>1</v>
      </c>
      <c r="L6" s="421">
        <v>0.78500000000000003</v>
      </c>
      <c r="M6" s="422">
        <v>0.91</v>
      </c>
      <c r="N6" s="421">
        <f t="shared" ref="N6" si="0">L6*M6</f>
        <v>0.71435000000000004</v>
      </c>
      <c r="O6" s="421">
        <v>1.02</v>
      </c>
      <c r="P6" s="421">
        <v>0.97</v>
      </c>
      <c r="Q6" s="421">
        <f t="shared" ref="Q6" si="1">N6*O6*P6</f>
        <v>0.70677789000000002</v>
      </c>
    </row>
    <row r="10" spans="2:17">
      <c r="P10" s="494" t="s">
        <v>684</v>
      </c>
      <c r="Q10" s="161">
        <f>AVERAGE(Q5:Q6)</f>
        <v>0.69512770499999998</v>
      </c>
    </row>
  </sheetData>
  <sheetProtection algorithmName="SHA-512" hashValue="Dkz2mW6Ij/I81Qmf15tk1DB/1DGWOikHqw8LciS/QCn9AWcQ6T+4aWdOzzHmCdiefm7ffcat7QK4POHLlKcz0w==" saltValue="gbQkiR6a5ajUHzdnfTaafw==" spinCount="100000" sheet="1" objects="1" scenarios="1" autoFilter="0"/>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B1:O60"/>
  <sheetViews>
    <sheetView showGridLines="0" workbookViewId="0"/>
  </sheetViews>
  <sheetFormatPr baseColWidth="10" defaultColWidth="11.44140625" defaultRowHeight="14.4"/>
  <cols>
    <col min="2" max="2" width="18.44140625" bestFit="1" customWidth="1"/>
    <col min="3" max="3" width="73.88671875" bestFit="1" customWidth="1"/>
    <col min="4" max="4" width="2.44140625" customWidth="1"/>
    <col min="5" max="5" width="2.5546875" customWidth="1"/>
    <col min="6" max="6" width="2.44140625" customWidth="1"/>
    <col min="7" max="7" width="2.109375" customWidth="1"/>
    <col min="8" max="8" width="2.44140625" customWidth="1"/>
    <col min="9" max="9" width="2.5546875" customWidth="1"/>
    <col min="11" max="11" width="39" bestFit="1" customWidth="1"/>
    <col min="12" max="12" width="13.44140625" bestFit="1" customWidth="1"/>
    <col min="13" max="13" width="39" bestFit="1" customWidth="1"/>
    <col min="14" max="14" width="21.33203125" customWidth="1"/>
  </cols>
  <sheetData>
    <row r="1" spans="2:14" ht="28.8">
      <c r="B1" s="494" t="s">
        <v>668</v>
      </c>
      <c r="C1" s="161" t="s">
        <v>669</v>
      </c>
    </row>
    <row r="2" spans="2:14">
      <c r="B2" s="494" t="s">
        <v>346</v>
      </c>
      <c r="C2" s="161" t="s">
        <v>670</v>
      </c>
    </row>
    <row r="6" spans="2:14">
      <c r="K6" s="423"/>
      <c r="L6" s="423"/>
      <c r="M6" s="423"/>
      <c r="N6" s="423"/>
    </row>
    <row r="7" spans="2:14" ht="28.8">
      <c r="K7" s="494" t="s">
        <v>685</v>
      </c>
      <c r="L7" s="494" t="s">
        <v>686</v>
      </c>
      <c r="M7" s="494" t="s">
        <v>687</v>
      </c>
      <c r="N7" s="494" t="s">
        <v>688</v>
      </c>
    </row>
    <row r="8" spans="2:14">
      <c r="K8" s="161">
        <v>1</v>
      </c>
      <c r="L8" s="161">
        <v>0.21</v>
      </c>
      <c r="M8" s="163">
        <f>L60</f>
        <v>0.308741079962358</v>
      </c>
      <c r="N8" s="161">
        <f>L8*(1-M8)</f>
        <v>0.14516437320790482</v>
      </c>
    </row>
    <row r="18" spans="11:15">
      <c r="K18" s="414"/>
      <c r="L18" s="496" t="s">
        <v>689</v>
      </c>
      <c r="M18" s="496"/>
      <c r="N18" s="496" t="s">
        <v>690</v>
      </c>
      <c r="O18" s="414"/>
    </row>
    <row r="19" spans="11:15">
      <c r="K19" s="494" t="s">
        <v>691</v>
      </c>
      <c r="L19" s="495" t="s">
        <v>692</v>
      </c>
      <c r="M19" s="495" t="s">
        <v>693</v>
      </c>
      <c r="N19" s="495" t="s">
        <v>692</v>
      </c>
      <c r="O19" s="494" t="s">
        <v>693</v>
      </c>
    </row>
    <row r="20" spans="11:15">
      <c r="K20" s="421">
        <v>1990</v>
      </c>
      <c r="L20" s="424">
        <v>55272</v>
      </c>
      <c r="M20" s="422">
        <v>0.39</v>
      </c>
      <c r="N20" s="424">
        <v>29474</v>
      </c>
      <c r="O20" s="422">
        <v>0.2</v>
      </c>
    </row>
    <row r="21" spans="11:15">
      <c r="K21" s="421">
        <v>1991</v>
      </c>
      <c r="L21" s="424">
        <v>72788</v>
      </c>
      <c r="M21" s="422">
        <v>0.37</v>
      </c>
      <c r="N21" s="424">
        <v>29474</v>
      </c>
      <c r="O21" s="422">
        <v>0.2</v>
      </c>
    </row>
    <row r="22" spans="11:15">
      <c r="K22" s="421">
        <v>1992</v>
      </c>
      <c r="L22" s="424">
        <v>90304</v>
      </c>
      <c r="M22" s="422">
        <v>0.36</v>
      </c>
      <c r="N22" s="424">
        <v>29474</v>
      </c>
      <c r="O22" s="422">
        <v>0.2</v>
      </c>
    </row>
    <row r="23" spans="11:15">
      <c r="K23" s="421">
        <v>1993</v>
      </c>
      <c r="L23" s="424">
        <v>107820</v>
      </c>
      <c r="M23" s="422">
        <v>0.35</v>
      </c>
      <c r="N23" s="424">
        <v>29474</v>
      </c>
      <c r="O23" s="422">
        <v>0.2</v>
      </c>
    </row>
    <row r="24" spans="11:15">
      <c r="K24" s="421">
        <v>1994</v>
      </c>
      <c r="L24" s="424">
        <v>125336</v>
      </c>
      <c r="M24" s="422">
        <v>0.34</v>
      </c>
      <c r="N24" s="424">
        <v>29474</v>
      </c>
      <c r="O24" s="422">
        <v>0.2</v>
      </c>
    </row>
    <row r="25" spans="11:15">
      <c r="K25" s="421">
        <v>1995</v>
      </c>
      <c r="L25" s="424">
        <v>146757</v>
      </c>
      <c r="M25" s="422">
        <v>0.35</v>
      </c>
      <c r="N25" s="424">
        <v>29474</v>
      </c>
      <c r="O25" s="422">
        <v>0.2</v>
      </c>
    </row>
    <row r="26" spans="11:15">
      <c r="K26" s="421">
        <v>1996</v>
      </c>
      <c r="L26" s="424">
        <v>188852</v>
      </c>
      <c r="M26" s="422">
        <v>0.35</v>
      </c>
      <c r="N26" s="424">
        <v>49598</v>
      </c>
      <c r="O26" s="422">
        <v>0.3</v>
      </c>
    </row>
    <row r="27" spans="11:15">
      <c r="K27" s="421">
        <v>1997</v>
      </c>
      <c r="L27" s="424">
        <v>211939</v>
      </c>
      <c r="M27" s="422">
        <v>0.37</v>
      </c>
      <c r="N27" s="424">
        <v>89468</v>
      </c>
      <c r="O27" s="422">
        <v>0.25</v>
      </c>
    </row>
    <row r="28" spans="11:15">
      <c r="K28" s="421">
        <v>1998</v>
      </c>
      <c r="L28" s="424">
        <v>221235</v>
      </c>
      <c r="M28" s="422">
        <v>0.35</v>
      </c>
      <c r="N28" s="424">
        <v>88001</v>
      </c>
      <c r="O28" s="422">
        <v>0.23</v>
      </c>
    </row>
    <row r="29" spans="11:15">
      <c r="K29" s="421">
        <v>1999</v>
      </c>
      <c r="L29" s="424">
        <v>216340</v>
      </c>
      <c r="M29" s="422">
        <v>0.35</v>
      </c>
      <c r="N29" s="424">
        <v>90402</v>
      </c>
      <c r="O29" s="422">
        <v>0.2</v>
      </c>
    </row>
    <row r="30" spans="11:15">
      <c r="K30" s="421">
        <v>2000</v>
      </c>
      <c r="L30" s="424">
        <v>257734</v>
      </c>
      <c r="M30" s="422">
        <v>0.34</v>
      </c>
      <c r="N30" s="424">
        <v>97347</v>
      </c>
      <c r="O30" s="422">
        <v>0.17</v>
      </c>
    </row>
    <row r="31" spans="11:15">
      <c r="K31" s="421">
        <v>2001</v>
      </c>
      <c r="L31" s="424">
        <v>260971</v>
      </c>
      <c r="M31" s="422">
        <v>0.33</v>
      </c>
      <c r="N31" s="424">
        <v>87319</v>
      </c>
      <c r="O31" s="422">
        <v>0.22</v>
      </c>
    </row>
    <row r="32" spans="11:15">
      <c r="K32" s="421">
        <v>2002</v>
      </c>
      <c r="L32" s="424">
        <v>281391</v>
      </c>
      <c r="M32" s="422">
        <v>0.33</v>
      </c>
      <c r="N32" s="424">
        <v>88425</v>
      </c>
      <c r="O32" s="422">
        <v>0.16</v>
      </c>
    </row>
    <row r="33" spans="11:15">
      <c r="K33" s="421">
        <v>2003</v>
      </c>
      <c r="L33" s="424">
        <v>318294</v>
      </c>
      <c r="M33" s="422">
        <v>0.38</v>
      </c>
      <c r="N33" s="424">
        <v>95308</v>
      </c>
      <c r="O33" s="422">
        <v>0.14000000000000001</v>
      </c>
    </row>
    <row r="34" spans="11:15">
      <c r="K34" s="421">
        <v>2004</v>
      </c>
      <c r="L34" s="424">
        <v>342276</v>
      </c>
      <c r="M34" s="422">
        <v>0.33</v>
      </c>
      <c r="N34" s="424">
        <v>98048</v>
      </c>
      <c r="O34" s="422">
        <v>0.12</v>
      </c>
    </row>
    <row r="35" spans="11:15">
      <c r="K35" s="421">
        <v>2005</v>
      </c>
      <c r="L35" s="424">
        <v>354179</v>
      </c>
      <c r="M35" s="422">
        <v>0.34</v>
      </c>
      <c r="N35" s="424">
        <v>102202</v>
      </c>
      <c r="O35" s="422">
        <v>0.13</v>
      </c>
    </row>
    <row r="36" spans="11:15">
      <c r="K36" s="421">
        <v>2006</v>
      </c>
      <c r="L36" s="424">
        <v>396068</v>
      </c>
      <c r="M36" s="422">
        <v>0.35</v>
      </c>
      <c r="N36" s="424">
        <v>103018</v>
      </c>
      <c r="O36" s="422">
        <v>0.11</v>
      </c>
    </row>
    <row r="37" spans="11:15">
      <c r="K37" s="421">
        <v>2007</v>
      </c>
      <c r="L37" s="424">
        <v>535998</v>
      </c>
      <c r="M37" s="422">
        <v>0.28999999999999998</v>
      </c>
      <c r="N37" s="424">
        <v>110095</v>
      </c>
      <c r="O37" s="422">
        <v>0.11</v>
      </c>
    </row>
    <row r="38" spans="11:15">
      <c r="K38" s="421">
        <v>2008</v>
      </c>
      <c r="L38" s="424">
        <v>535516</v>
      </c>
      <c r="M38" s="422">
        <v>0.3</v>
      </c>
      <c r="N38" s="424">
        <v>108425</v>
      </c>
      <c r="O38" s="422">
        <v>0.11</v>
      </c>
    </row>
    <row r="39" spans="11:15">
      <c r="K39" s="421">
        <v>2009</v>
      </c>
      <c r="L39" s="424">
        <v>490290</v>
      </c>
      <c r="M39" s="422">
        <v>0.36</v>
      </c>
      <c r="N39" s="424">
        <v>100726</v>
      </c>
      <c r="O39" s="422">
        <v>0.11</v>
      </c>
    </row>
    <row r="40" spans="11:15">
      <c r="K40" s="421">
        <v>2010</v>
      </c>
      <c r="L40" s="424">
        <v>614292</v>
      </c>
      <c r="M40" s="422">
        <v>0.35</v>
      </c>
      <c r="N40" s="424">
        <v>16727</v>
      </c>
      <c r="O40" s="422">
        <v>0.09</v>
      </c>
    </row>
    <row r="41" spans="11:15">
      <c r="K41" s="421">
        <v>2011</v>
      </c>
      <c r="L41" s="424">
        <v>599703</v>
      </c>
      <c r="M41" s="422">
        <v>0.32</v>
      </c>
      <c r="N41" s="424">
        <v>90015</v>
      </c>
      <c r="O41" s="422">
        <v>0.18</v>
      </c>
    </row>
    <row r="42" spans="11:15">
      <c r="K42" s="421">
        <v>2012</v>
      </c>
      <c r="L42" s="424">
        <v>588798</v>
      </c>
      <c r="M42" s="422">
        <v>0.35</v>
      </c>
      <c r="N42" s="424">
        <v>101959</v>
      </c>
      <c r="O42" s="422">
        <v>0.14000000000000001</v>
      </c>
    </row>
    <row r="43" spans="11:15">
      <c r="K43" s="421">
        <v>2013</v>
      </c>
      <c r="L43" s="424">
        <v>609290</v>
      </c>
      <c r="M43" s="422">
        <v>0.32</v>
      </c>
      <c r="N43" s="424">
        <v>103497</v>
      </c>
      <c r="O43" s="422">
        <v>0.11</v>
      </c>
    </row>
    <row r="44" spans="11:15">
      <c r="K44" s="421">
        <v>2014</v>
      </c>
      <c r="L44" s="424">
        <v>614583</v>
      </c>
      <c r="M44" s="422">
        <v>0.32</v>
      </c>
      <c r="N44" s="424">
        <v>106265</v>
      </c>
      <c r="O44" s="422">
        <v>0.12</v>
      </c>
    </row>
    <row r="45" spans="11:15">
      <c r="K45" s="421">
        <v>2015</v>
      </c>
      <c r="L45" s="424">
        <v>632303</v>
      </c>
      <c r="M45" s="422">
        <v>0.33</v>
      </c>
      <c r="N45" s="424">
        <v>104695</v>
      </c>
      <c r="O45" s="422">
        <v>0.15</v>
      </c>
    </row>
    <row r="46" spans="11:15">
      <c r="K46" s="421">
        <v>2016</v>
      </c>
      <c r="L46" s="424">
        <v>717193</v>
      </c>
      <c r="M46" s="422">
        <v>0.33</v>
      </c>
      <c r="N46" s="424">
        <v>101372</v>
      </c>
      <c r="O46" s="422">
        <v>0.16</v>
      </c>
    </row>
    <row r="47" spans="11:15">
      <c r="K47" s="421">
        <v>2017</v>
      </c>
      <c r="L47" s="424">
        <v>737866</v>
      </c>
      <c r="M47" s="422">
        <v>0.33</v>
      </c>
      <c r="N47" s="424">
        <v>105693</v>
      </c>
      <c r="O47" s="422">
        <v>0.15</v>
      </c>
    </row>
    <row r="48" spans="11:15">
      <c r="K48" s="421">
        <v>2018</v>
      </c>
      <c r="L48" s="424">
        <v>755165</v>
      </c>
      <c r="M48" s="422">
        <v>0.33</v>
      </c>
      <c r="N48" s="424">
        <v>113142</v>
      </c>
      <c r="O48" s="422">
        <v>0.14000000000000001</v>
      </c>
    </row>
    <row r="49" spans="11:15">
      <c r="K49" s="421">
        <v>2019</v>
      </c>
      <c r="L49" s="424">
        <v>718020</v>
      </c>
      <c r="M49" s="422">
        <v>0.35</v>
      </c>
      <c r="N49" s="424">
        <v>106170</v>
      </c>
      <c r="O49" s="422">
        <v>0.17</v>
      </c>
    </row>
    <row r="50" spans="11:15">
      <c r="K50" s="421">
        <v>2020</v>
      </c>
      <c r="L50" s="424">
        <v>698501</v>
      </c>
      <c r="M50" s="422">
        <v>0.41</v>
      </c>
      <c r="N50" s="424">
        <v>94578</v>
      </c>
      <c r="O50" s="422">
        <v>0.13</v>
      </c>
    </row>
    <row r="51" spans="11:15">
      <c r="K51" s="414"/>
      <c r="L51" s="414"/>
      <c r="M51" s="414"/>
      <c r="N51" s="414"/>
      <c r="O51" s="414"/>
    </row>
    <row r="52" spans="11:15">
      <c r="O52" s="414"/>
    </row>
    <row r="53" spans="11:15">
      <c r="K53" s="425" t="s">
        <v>689</v>
      </c>
      <c r="M53" s="425" t="s">
        <v>690</v>
      </c>
      <c r="O53" s="414"/>
    </row>
    <row r="54" spans="11:15">
      <c r="K54" s="426" t="s">
        <v>694</v>
      </c>
      <c r="L54" s="424">
        <f>SUM(L20:L50)</f>
        <v>12495074</v>
      </c>
      <c r="M54" s="426" t="s">
        <v>694</v>
      </c>
      <c r="N54" s="424">
        <f>SUM(N20:N50,O20:O50)</f>
        <v>2529344.100000001</v>
      </c>
      <c r="O54" s="414"/>
    </row>
    <row r="55" spans="11:15">
      <c r="K55" s="425" t="s">
        <v>695</v>
      </c>
      <c r="L55" s="424">
        <f>SUMPRODUCT(L20:L50,M20:M50)</f>
        <v>4242887.3899999997</v>
      </c>
      <c r="M55" s="425" t="s">
        <v>695</v>
      </c>
      <c r="N55" s="424">
        <f>SUMPRODUCT(N20:N50,O20:O50)</f>
        <v>395767.68000000011</v>
      </c>
      <c r="O55" s="414"/>
    </row>
    <row r="56" spans="11:15">
      <c r="K56" s="426" t="s">
        <v>696</v>
      </c>
      <c r="L56" s="427">
        <f>L55/L54</f>
        <v>0.33956480689910279</v>
      </c>
      <c r="M56" s="426" t="s">
        <v>696</v>
      </c>
      <c r="N56" s="427">
        <f>N55/N54</f>
        <v>0.15647047786024842</v>
      </c>
      <c r="O56" s="414"/>
    </row>
    <row r="57" spans="11:15">
      <c r="K57" s="414"/>
      <c r="L57" s="414"/>
      <c r="M57" s="414"/>
      <c r="N57" s="414"/>
      <c r="O57" s="414"/>
    </row>
    <row r="58" spans="11:15">
      <c r="K58" s="428" t="s">
        <v>697</v>
      </c>
      <c r="L58" s="424">
        <f>SUM(L54,N54)</f>
        <v>15024418.100000001</v>
      </c>
      <c r="M58" s="414"/>
      <c r="N58" s="414"/>
      <c r="O58" s="414"/>
    </row>
    <row r="59" spans="11:15">
      <c r="K59" s="425" t="s">
        <v>698</v>
      </c>
      <c r="L59" s="424">
        <f>L54*L56+N54*N56</f>
        <v>4638655.0699999994</v>
      </c>
      <c r="M59" s="414"/>
      <c r="N59" s="414"/>
    </row>
    <row r="60" spans="11:15">
      <c r="K60" s="426" t="s">
        <v>696</v>
      </c>
      <c r="L60" s="427">
        <f>L59/L58</f>
        <v>0.308741079962358</v>
      </c>
      <c r="M60" s="414"/>
      <c r="N60" s="414"/>
    </row>
  </sheetData>
  <sheetProtection algorithmName="SHA-512" hashValue="UUkqt8rNnfd20fD3ow8SZni+jDoZ3CSvrHhzRASJ5ZMq3/C0tIbH2yIUalVc7uGjoF7Xv93S2aj9ta+kXNzuag==" saltValue="9m132mp9gh/0ZQiWNt1mtg==" spinCount="100000" sheet="1" objects="1" scenarios="1" autoFilter="0"/>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C1:O11"/>
  <sheetViews>
    <sheetView showGridLines="0" workbookViewId="0"/>
  </sheetViews>
  <sheetFormatPr baseColWidth="10" defaultColWidth="11.44140625" defaultRowHeight="14.4"/>
  <cols>
    <col min="1" max="1" width="3.33203125" style="353" customWidth="1"/>
    <col min="2" max="2" width="5.88671875" style="353" customWidth="1"/>
    <col min="3" max="3" width="34.33203125" style="353" customWidth="1"/>
    <col min="4" max="4" width="98.33203125" style="353" bestFit="1" customWidth="1"/>
    <col min="5" max="11" width="3.88671875" style="353" customWidth="1"/>
    <col min="12" max="12" width="11.44140625" style="353"/>
    <col min="13" max="13" width="30.33203125" style="353" bestFit="1" customWidth="1"/>
    <col min="14" max="14" width="29.44140625" style="353" bestFit="1" customWidth="1"/>
    <col min="15" max="15" width="12.6640625" style="353" bestFit="1" customWidth="1"/>
    <col min="16" max="16384" width="11.44140625" style="353"/>
  </cols>
  <sheetData>
    <row r="1" spans="3:15">
      <c r="C1" s="494" t="s">
        <v>346</v>
      </c>
      <c r="D1" s="161" t="s">
        <v>699</v>
      </c>
    </row>
    <row r="2" spans="3:15">
      <c r="C2" s="494" t="s">
        <v>700</v>
      </c>
      <c r="D2" s="161" t="s">
        <v>701</v>
      </c>
    </row>
    <row r="5" spans="3:15" ht="28.8">
      <c r="M5" s="494" t="s">
        <v>702</v>
      </c>
      <c r="N5" s="494" t="s">
        <v>703</v>
      </c>
      <c r="O5" s="494" t="s">
        <v>704</v>
      </c>
    </row>
    <row r="6" spans="3:15">
      <c r="M6" s="356" t="s">
        <v>705</v>
      </c>
      <c r="N6" s="357">
        <v>1.46</v>
      </c>
      <c r="O6" s="357"/>
    </row>
    <row r="7" spans="3:15">
      <c r="M7" s="356" t="s">
        <v>706</v>
      </c>
      <c r="N7" s="357">
        <v>0.08</v>
      </c>
      <c r="O7" s="357"/>
    </row>
    <row r="8" spans="3:15">
      <c r="M8" s="354" t="s">
        <v>707</v>
      </c>
      <c r="N8" s="355">
        <v>0.03</v>
      </c>
      <c r="O8" s="355"/>
    </row>
    <row r="9" spans="3:15">
      <c r="M9" s="357" t="s">
        <v>708</v>
      </c>
      <c r="N9" s="357">
        <v>1.35</v>
      </c>
      <c r="O9" s="357"/>
    </row>
    <row r="10" spans="3:15">
      <c r="M10" s="353" t="s">
        <v>709</v>
      </c>
      <c r="N10" s="353">
        <v>0.7</v>
      </c>
    </row>
    <row r="11" spans="3:15">
      <c r="M11" s="357" t="s">
        <v>710</v>
      </c>
      <c r="N11" s="357">
        <v>0.56000000000000005</v>
      </c>
      <c r="O11" s="357">
        <f>0.1/1000000</f>
        <v>1.0000000000000001E-7</v>
      </c>
    </row>
  </sheetData>
  <sheetProtection algorithmName="SHA-512" hashValue="5X6IpgtC9OduLu6LXiPQ+dTau+lFfp4OxXRvJU1qAA809n1QXO1w8642Luz2OJy/kz2L9qckbzuAwLhb8WEwmQ==" saltValue="AXRSdu1uKTz26IZXMAUNDg==" spinCount="100000" sheet="1" objects="1" scenarios="1" autoFilter="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B2:F21"/>
  <sheetViews>
    <sheetView showGridLines="0" workbookViewId="0"/>
  </sheetViews>
  <sheetFormatPr baseColWidth="10" defaultColWidth="11.44140625" defaultRowHeight="14.4"/>
  <cols>
    <col min="2" max="2" width="53.88671875" bestFit="1" customWidth="1"/>
    <col min="3" max="3" width="63.6640625" customWidth="1"/>
  </cols>
  <sheetData>
    <row r="2" spans="2:3">
      <c r="B2" s="494" t="s">
        <v>96</v>
      </c>
      <c r="C2" s="161" t="s">
        <v>711</v>
      </c>
    </row>
    <row r="3" spans="2:3">
      <c r="B3" s="494" t="s">
        <v>712</v>
      </c>
      <c r="C3" s="161" t="s">
        <v>713</v>
      </c>
    </row>
    <row r="4" spans="2:3">
      <c r="B4" s="494" t="s">
        <v>97</v>
      </c>
      <c r="C4" s="161" t="s">
        <v>669</v>
      </c>
    </row>
    <row r="5" spans="2:3">
      <c r="B5" s="494" t="s">
        <v>714</v>
      </c>
      <c r="C5" s="161" t="s">
        <v>670</v>
      </c>
    </row>
    <row r="11" spans="2:3">
      <c r="B11" s="494" t="s">
        <v>702</v>
      </c>
      <c r="C11" s="494" t="s">
        <v>715</v>
      </c>
    </row>
    <row r="12" spans="2:3">
      <c r="B12" s="161" t="s">
        <v>137</v>
      </c>
      <c r="C12" s="161">
        <f>2*1.1/1000</f>
        <v>2.2000000000000001E-3</v>
      </c>
    </row>
    <row r="13" spans="2:3">
      <c r="B13" s="161" t="s">
        <v>138</v>
      </c>
      <c r="C13" s="161">
        <f>2.5*1.1/1000</f>
        <v>2.7499999999999998E-3</v>
      </c>
    </row>
    <row r="14" spans="2:3">
      <c r="B14" s="161" t="s">
        <v>139</v>
      </c>
      <c r="C14" s="161">
        <f>5*1.1/1000</f>
        <v>5.4999999999999997E-3</v>
      </c>
    </row>
    <row r="15" spans="2:3">
      <c r="B15" s="161" t="s">
        <v>140</v>
      </c>
      <c r="C15" s="161">
        <f>7*1.1/1000</f>
        <v>7.7000000000000011E-3</v>
      </c>
    </row>
    <row r="16" spans="2:3">
      <c r="B16" s="161" t="s">
        <v>141</v>
      </c>
      <c r="C16" s="161">
        <f>9*1.1/1000</f>
        <v>9.9000000000000008E-3</v>
      </c>
    </row>
    <row r="21" spans="2:6">
      <c r="B21" s="158"/>
      <c r="C21" s="158"/>
      <c r="D21" s="158"/>
      <c r="E21" s="158"/>
      <c r="F21" s="158"/>
    </row>
  </sheetData>
  <sheetProtection algorithmName="SHA-512" hashValue="/p/QSIGaAb+FIahdZA6D7EuGe/UFvFF1nnA1jhew1t8fBSTdcO5k3PbVuYEG4iNZ2dQhneBTL2PCZBIYiokQ+g==" saltValue="ZMIsNz8B+ET2HfCZMWl2AA==" spinCount="100000" sheet="1" objects="1" scenarios="1" autoFilter="0"/>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2:I64"/>
  <sheetViews>
    <sheetView showGridLines="0" workbookViewId="0"/>
  </sheetViews>
  <sheetFormatPr baseColWidth="10" defaultColWidth="11.44140625" defaultRowHeight="15" customHeight="1"/>
  <cols>
    <col min="1" max="1" width="2.6640625" customWidth="1"/>
    <col min="2" max="2" width="29.109375" bestFit="1" customWidth="1"/>
    <col min="3" max="3" width="29" bestFit="1" customWidth="1"/>
    <col min="4" max="4" width="51.44140625" bestFit="1" customWidth="1"/>
    <col min="5" max="5" width="32.5546875" bestFit="1" customWidth="1"/>
    <col min="6" max="7" width="32.5546875" customWidth="1"/>
    <col min="8" max="8" width="35" bestFit="1" customWidth="1"/>
    <col min="9" max="9" width="90" bestFit="1" customWidth="1"/>
    <col min="10" max="11" width="9.109375"/>
  </cols>
  <sheetData>
    <row r="2" spans="2:9" ht="14.4">
      <c r="B2" s="1" t="s">
        <v>358</v>
      </c>
    </row>
    <row r="3" spans="2:9" ht="14.4">
      <c r="B3" s="1" t="s">
        <v>99</v>
      </c>
    </row>
    <row r="4" spans="2:9" ht="14.4">
      <c r="B4" s="1" t="s">
        <v>142</v>
      </c>
    </row>
    <row r="5" spans="2:9" ht="14.4"/>
    <row r="6" spans="2:9" ht="30" customHeight="1">
      <c r="B6" s="114" t="s">
        <v>716</v>
      </c>
      <c r="C6" s="114" t="s">
        <v>362</v>
      </c>
      <c r="D6" s="114" t="s">
        <v>717</v>
      </c>
      <c r="E6" s="114" t="s">
        <v>718</v>
      </c>
      <c r="F6" s="304" t="s">
        <v>719</v>
      </c>
      <c r="G6" s="74" t="s">
        <v>720</v>
      </c>
      <c r="H6" s="74" t="s">
        <v>721</v>
      </c>
      <c r="I6" s="74" t="s">
        <v>96</v>
      </c>
    </row>
    <row r="7" spans="2:9" ht="14.4">
      <c r="B7" s="408" t="s">
        <v>143</v>
      </c>
      <c r="C7" s="408" t="s">
        <v>143</v>
      </c>
      <c r="D7" s="79" t="s">
        <v>722</v>
      </c>
      <c r="E7" s="408" t="s">
        <v>143</v>
      </c>
      <c r="F7" s="408" t="s">
        <v>107</v>
      </c>
      <c r="G7" s="107">
        <f>_xlfn.XLOOKUP(B7,'1.4 AR5 CH8  T8.A.1'!$A$4:$A$217,'1.4 AR5 CH8  T8.A.1'!$H$4:$H$217,_xlfn.XLOOKUP(B7,'1.4 V3 CH7 T7.8'!$B$4:$B$54,'1.4 V3 CH7 T7.8'!$O$4:$O$54,"No se encuentra"))</f>
        <v>858</v>
      </c>
      <c r="H7" s="115" t="str">
        <f>"kgCO2e/"&amp;F7</f>
        <v>kgCO2e/kilogramos</v>
      </c>
      <c r="I7" s="408" t="s">
        <v>723</v>
      </c>
    </row>
    <row r="8" spans="2:9" ht="14.4">
      <c r="B8" s="408" t="s">
        <v>144</v>
      </c>
      <c r="C8" s="408" t="s">
        <v>144</v>
      </c>
      <c r="D8" s="79" t="s">
        <v>722</v>
      </c>
      <c r="E8" s="408" t="s">
        <v>144</v>
      </c>
      <c r="F8" s="408" t="s">
        <v>107</v>
      </c>
      <c r="G8" s="107">
        <f>_xlfn.XLOOKUP(B8,'1.4 AR5 CH8  T8.A.1'!$A$4:$A$217,'1.4 AR5 CH8  T8.A.1'!$H$4:$H$217,_xlfn.XLOOKUP(B8,'1.4 V3 CH7 T7.8'!$B$4:$B$54,'1.4 V3 CH7 T7.8'!$O$4:$O$54,"No se encuentra"))</f>
        <v>677</v>
      </c>
      <c r="H8" s="115" t="str">
        <f t="shared" ref="H8:H61" si="0">"kgCO2e/"&amp;F8</f>
        <v>kgCO2e/kilogramos</v>
      </c>
      <c r="I8" s="79" t="s">
        <v>723</v>
      </c>
    </row>
    <row r="9" spans="2:9" ht="14.4">
      <c r="B9" s="408" t="s">
        <v>145</v>
      </c>
      <c r="C9" s="408" t="s">
        <v>145</v>
      </c>
      <c r="D9" s="79" t="s">
        <v>722</v>
      </c>
      <c r="E9" s="408" t="s">
        <v>145</v>
      </c>
      <c r="F9" s="408" t="s">
        <v>107</v>
      </c>
      <c r="G9" s="107">
        <f>_xlfn.XLOOKUP(B9,'1.4 AR5 CH8  T8.A.1'!$A$4:$A$217,'1.4 AR5 CH8  T8.A.1'!$H$4:$H$217,_xlfn.XLOOKUP(B9,'1.4 V3 CH7 T7.8'!$B$4:$B$54,'1.4 V3 CH7 T7.8'!$O$4:$O$54,"No se encuentra"))</f>
        <v>116</v>
      </c>
      <c r="H9" s="115" t="str">
        <f t="shared" si="0"/>
        <v>kgCO2e/kilogramos</v>
      </c>
      <c r="I9" s="79" t="s">
        <v>723</v>
      </c>
    </row>
    <row r="10" spans="2:9" ht="14.4">
      <c r="B10" s="408" t="s">
        <v>724</v>
      </c>
      <c r="C10" s="154" t="s">
        <v>146</v>
      </c>
      <c r="D10" s="79" t="s">
        <v>722</v>
      </c>
      <c r="E10" s="408" t="s">
        <v>724</v>
      </c>
      <c r="F10" s="408" t="s">
        <v>107</v>
      </c>
      <c r="G10" s="107">
        <f>_xlfn.XLOOKUP(B10,'1.4 AR5 CH8  T8.A.1'!$A$4:$A$217,'1.4 AR5 CH8  T8.A.1'!$H$4:$H$217,_xlfn.XLOOKUP(B10,'1.4 V3 CH7 T7.8'!$B$4:$B$54,'1.4 V3 CH7 T7.8'!$O$4:$O$54,"No se encuentra"))</f>
        <v>1650</v>
      </c>
      <c r="H10" s="115" t="str">
        <f t="shared" si="0"/>
        <v>kgCO2e/kilogramos</v>
      </c>
      <c r="I10" s="79" t="s">
        <v>723</v>
      </c>
    </row>
    <row r="11" spans="2:9" ht="14.4">
      <c r="B11" s="408" t="s">
        <v>725</v>
      </c>
      <c r="C11" s="408" t="s">
        <v>147</v>
      </c>
      <c r="D11" s="79" t="s">
        <v>722</v>
      </c>
      <c r="E11" s="79" t="s">
        <v>725</v>
      </c>
      <c r="F11" s="408" t="s">
        <v>107</v>
      </c>
      <c r="G11" s="107">
        <f>_xlfn.XLOOKUP(B11,'1.4 AR5 CH8  T8.A.1'!$A$4:$A$217,'1.4 AR5 CH8  T8.A.1'!$H$4:$H$217,_xlfn.XLOOKUP(B11,'1.4 V3 CH7 T7.8'!$B$4:$B$54,'1.4 V3 CH7 T7.8'!$O$4:$O$54,"No se encuentra"))</f>
        <v>9200</v>
      </c>
      <c r="H11" s="115" t="str">
        <f t="shared" si="0"/>
        <v>kgCO2e/kilogramos</v>
      </c>
      <c r="I11" s="79" t="s">
        <v>723</v>
      </c>
    </row>
    <row r="12" spans="2:9" ht="14.4">
      <c r="B12" s="408" t="s">
        <v>726</v>
      </c>
      <c r="C12" s="79" t="s">
        <v>148</v>
      </c>
      <c r="D12" s="79" t="s">
        <v>722</v>
      </c>
      <c r="E12" s="408" t="s">
        <v>726</v>
      </c>
      <c r="F12" s="408" t="s">
        <v>107</v>
      </c>
      <c r="G12" s="107">
        <f>_xlfn.XLOOKUP(B12,'1.4 AR5 CH8  T8.A.1'!$A$4:$A$217,'1.4 AR5 CH8  T8.A.1'!$H$4:$H$217,_xlfn.XLOOKUP(B12,'1.4 V3 CH7 T7.8'!$B$4:$B$54,'1.4 V3 CH7 T7.8'!$O$4:$O$54,"No se encuentra"))</f>
        <v>9540</v>
      </c>
      <c r="H12" s="115" t="str">
        <f t="shared" si="0"/>
        <v>kgCO2e/kilogramos</v>
      </c>
      <c r="I12" s="79" t="s">
        <v>723</v>
      </c>
    </row>
    <row r="13" spans="2:9" ht="14.4">
      <c r="B13" s="79" t="s">
        <v>727</v>
      </c>
      <c r="C13" s="79" t="s">
        <v>149</v>
      </c>
      <c r="D13" s="79" t="s">
        <v>722</v>
      </c>
      <c r="E13" s="79" t="s">
        <v>727</v>
      </c>
      <c r="F13" s="408" t="s">
        <v>107</v>
      </c>
      <c r="G13" s="107">
        <f>_xlfn.XLOOKUP(B13,'1.4 AR5 CH8  T8.A.1'!$A$4:$A$217,'1.4 AR5 CH8  T8.A.1'!$H$4:$H$217,_xlfn.XLOOKUP(B13,'1.4 V3 CH7 T7.8'!$B$4:$B$54,'1.4 V3 CH7 T7.8'!$O$4:$O$54,"No se encuentra"))</f>
        <v>11100</v>
      </c>
      <c r="H13" s="115" t="str">
        <f t="shared" si="0"/>
        <v>kgCO2e/kilogramos</v>
      </c>
      <c r="I13" s="79" t="s">
        <v>723</v>
      </c>
    </row>
    <row r="14" spans="2:9" ht="14.4">
      <c r="B14" s="408" t="s">
        <v>728</v>
      </c>
      <c r="C14" s="408" t="s">
        <v>150</v>
      </c>
      <c r="D14" s="79" t="s">
        <v>722</v>
      </c>
      <c r="E14" s="79" t="s">
        <v>728</v>
      </c>
      <c r="F14" s="408" t="s">
        <v>107</v>
      </c>
      <c r="G14" s="107">
        <f>_xlfn.XLOOKUP(B14,'1.4 AR5 CH8  T8.A.1'!$A$4:$A$217,'1.4 AR5 CH8  T8.A.1'!$H$4:$H$217,_xlfn.XLOOKUP(B14,'1.4 V3 CH7 T7.8'!$B$4:$B$54,'1.4 V3 CH7 T7.8'!$O$4:$O$54,"No se encuentra"))</f>
        <v>7910</v>
      </c>
      <c r="H14" s="115" t="str">
        <f t="shared" si="0"/>
        <v>kgCO2e/kilogramos</v>
      </c>
      <c r="I14" s="79" t="s">
        <v>723</v>
      </c>
    </row>
    <row r="15" spans="2:9" ht="14.4">
      <c r="B15" s="79" t="s">
        <v>729</v>
      </c>
      <c r="C15" s="79" t="s">
        <v>151</v>
      </c>
      <c r="D15" s="79" t="s">
        <v>722</v>
      </c>
      <c r="E15" s="79" t="s">
        <v>729</v>
      </c>
      <c r="F15" s="408" t="s">
        <v>107</v>
      </c>
      <c r="G15" s="107">
        <f>_xlfn.XLOOKUP(B15,'1.4 AR5 CH8  T8.A.1'!$A$4:$A$217,'1.4 AR5 CH8  T8.A.1'!$H$4:$H$217,_xlfn.XLOOKUP(B15,'1.4 V3 CH7 T7.8'!$B$4:$B$54,'1.4 V3 CH7 T7.8'!$O$4:$O$54,"No se encuentra"))</f>
        <v>6630</v>
      </c>
      <c r="H15" s="115" t="str">
        <f t="shared" si="0"/>
        <v>kgCO2e/kilogramos</v>
      </c>
      <c r="I15" s="79" t="s">
        <v>723</v>
      </c>
    </row>
    <row r="16" spans="2:9" ht="14.4">
      <c r="B16" s="79" t="s">
        <v>730</v>
      </c>
      <c r="C16" s="408" t="s">
        <v>152</v>
      </c>
      <c r="D16" s="79" t="s">
        <v>722</v>
      </c>
      <c r="E16" s="79" t="s">
        <v>730</v>
      </c>
      <c r="F16" s="408" t="s">
        <v>107</v>
      </c>
      <c r="G16" s="107">
        <f>_xlfn.XLOOKUP(B16,'1.4 AR5 CH8  T8.A.1'!$A$4:$A$217,'1.4 AR5 CH8  T8.A.1'!$H$4:$H$217,_xlfn.XLOOKUP(B16,'1.4 V3 CH7 T7.8'!$B$4:$B$54,'1.4 V3 CH7 T7.8'!$O$4:$O$54,"No se encuentra"))</f>
        <v>8550</v>
      </c>
      <c r="H16" s="115" t="str">
        <f t="shared" si="0"/>
        <v>kgCO2e/kilogramos</v>
      </c>
      <c r="I16" s="79" t="s">
        <v>723</v>
      </c>
    </row>
    <row r="17" spans="2:9" ht="14.4">
      <c r="B17" s="79" t="s">
        <v>153</v>
      </c>
      <c r="C17" s="79" t="s">
        <v>153</v>
      </c>
      <c r="D17" s="79" t="s">
        <v>722</v>
      </c>
      <c r="E17" s="79" t="s">
        <v>153</v>
      </c>
      <c r="F17" s="408" t="s">
        <v>107</v>
      </c>
      <c r="G17" s="107">
        <f>_xlfn.XLOOKUP(B17,'1.4 AR5 CH8  T8.A.1'!$A$4:$A$217,'1.4 AR5 CH8  T8.A.1'!$H$4:$H$217,_xlfn.XLOOKUP(B17,'1.4 V3 CH7 T7.8'!$B$4:$B$54,'1.4 V3 CH7 T7.8'!$O$4:$O$54,"No se encuentra"))</f>
        <v>3170</v>
      </c>
      <c r="H17" s="115" t="str">
        <f t="shared" si="0"/>
        <v>kgCO2e/kilogramos</v>
      </c>
      <c r="I17" s="79" t="s">
        <v>723</v>
      </c>
    </row>
    <row r="18" spans="2:9" ht="14.4">
      <c r="B18" s="79" t="s">
        <v>731</v>
      </c>
      <c r="C18" s="408" t="s">
        <v>154</v>
      </c>
      <c r="D18" s="79" t="s">
        <v>722</v>
      </c>
      <c r="E18" s="79" t="s">
        <v>731</v>
      </c>
      <c r="F18" s="408" t="s">
        <v>107</v>
      </c>
      <c r="G18" s="107">
        <f>_xlfn.XLOOKUP(B18,'1.4 AR5 CH8  T8.A.1'!$A$4:$A$217,'1.4 AR5 CH8  T8.A.1'!$H$4:$H$217,_xlfn.XLOOKUP(B18,'1.4 V3 CH7 T7.8'!$B$4:$B$54,'1.4 V3 CH7 T7.8'!$O$4:$O$54,"No se encuentra"))</f>
        <v>8900</v>
      </c>
      <c r="H18" s="115" t="str">
        <f t="shared" si="0"/>
        <v>kgCO2e/kilogramos</v>
      </c>
      <c r="I18" s="79" t="s">
        <v>723</v>
      </c>
    </row>
    <row r="19" spans="2:9" ht="14.4">
      <c r="B19" s="408" t="s">
        <v>732</v>
      </c>
      <c r="C19" s="408" t="s">
        <v>155</v>
      </c>
      <c r="D19" s="79" t="s">
        <v>722</v>
      </c>
      <c r="E19" s="408" t="s">
        <v>732</v>
      </c>
      <c r="F19" s="408" t="s">
        <v>107</v>
      </c>
      <c r="G19" s="107">
        <f>_xlfn.XLOOKUP(B19,'1.4 AR5 CH8  T8.A.1'!$A$4:$A$217,'1.4 AR5 CH8  T8.A.1'!$H$4:$H$217,_xlfn.XLOOKUP(B19,'1.4 V3 CH7 T7.8'!$B$4:$B$54,'1.4 V3 CH7 T7.8'!$O$4:$O$54,"No se encuentra"))</f>
        <v>23500</v>
      </c>
      <c r="H19" s="115" t="str">
        <f t="shared" si="0"/>
        <v>kgCO2e/kilogramos</v>
      </c>
      <c r="I19" s="79" t="s">
        <v>723</v>
      </c>
    </row>
    <row r="20" spans="2:9" ht="14.4">
      <c r="B20" s="408" t="s">
        <v>733</v>
      </c>
      <c r="C20" s="79" t="s">
        <v>156</v>
      </c>
      <c r="D20" s="79" t="s">
        <v>722</v>
      </c>
      <c r="E20" s="408" t="s">
        <v>733</v>
      </c>
      <c r="F20" s="408" t="s">
        <v>107</v>
      </c>
      <c r="G20" s="107">
        <f>_xlfn.XLOOKUP(B20,'1.4 AR5 CH8  T8.A.1'!$A$4:$A$217,'1.4 AR5 CH8  T8.A.1'!$H$4:$H$217,_xlfn.XLOOKUP(B20,'1.4 V3 CH7 T7.8'!$B$4:$B$54,'1.4 V3 CH7 T7.8'!$O$4:$O$54,"No se encuentra"))</f>
        <v>28</v>
      </c>
      <c r="H20" s="115" t="str">
        <f t="shared" si="0"/>
        <v>kgCO2e/kilogramos</v>
      </c>
      <c r="I20" s="79" t="s">
        <v>723</v>
      </c>
    </row>
    <row r="21" spans="2:9" ht="14.4">
      <c r="B21" s="408" t="s">
        <v>734</v>
      </c>
      <c r="C21" s="408" t="s">
        <v>157</v>
      </c>
      <c r="D21" s="79" t="s">
        <v>722</v>
      </c>
      <c r="E21" s="408" t="s">
        <v>734</v>
      </c>
      <c r="F21" s="408" t="s">
        <v>107</v>
      </c>
      <c r="G21" s="107">
        <f>_xlfn.XLOOKUP(B21,'1.4 AR5 CH8  T8.A.1'!$A$4:$A$217,'1.4 AR5 CH8  T8.A.1'!$H$4:$H$217,_xlfn.XLOOKUP(B21,'1.4 V3 CH7 T7.8'!$B$4:$B$54,'1.4 V3 CH7 T7.8'!$O$4:$O$54,"No se encuentra"))</f>
        <v>16100</v>
      </c>
      <c r="H21" s="115" t="str">
        <f t="shared" si="0"/>
        <v>kgCO2e/kilogramos</v>
      </c>
      <c r="I21" s="79" t="s">
        <v>723</v>
      </c>
    </row>
    <row r="22" spans="2:9" ht="14.4">
      <c r="B22" s="79" t="s">
        <v>158</v>
      </c>
      <c r="C22" s="79" t="s">
        <v>158</v>
      </c>
      <c r="D22" s="79" t="s">
        <v>722</v>
      </c>
      <c r="E22" s="79" t="s">
        <v>158</v>
      </c>
      <c r="F22" s="408" t="s">
        <v>107</v>
      </c>
      <c r="G22" s="107">
        <f>_xlfn.XLOOKUP(B22,'1.4 AR5 CH8  T8.A.1'!$A$4:$A$217,'1.4 AR5 CH8  T8.A.1'!$H$4:$H$217,_xlfn.XLOOKUP(B22,'1.4 V3 CH7 T7.8'!$B$4:$B$54,'1.4 V3 CH7 T7.8'!$O$4:$O$54,"No se encuentra"))</f>
        <v>3942.8</v>
      </c>
      <c r="H22" s="115" t="str">
        <f t="shared" si="0"/>
        <v>kgCO2e/kilogramos</v>
      </c>
      <c r="I22" s="79" t="s">
        <v>723</v>
      </c>
    </row>
    <row r="23" spans="2:9" ht="14.4">
      <c r="B23" s="79" t="s">
        <v>159</v>
      </c>
      <c r="C23" s="79" t="s">
        <v>159</v>
      </c>
      <c r="D23" s="79" t="s">
        <v>722</v>
      </c>
      <c r="E23" s="79" t="s">
        <v>159</v>
      </c>
      <c r="F23" s="408" t="s">
        <v>107</v>
      </c>
      <c r="G23" s="107">
        <f>_xlfn.XLOOKUP(B23,'1.4 AR5 CH8  T8.A.1'!$A$4:$A$217,'1.4 AR5 CH8  T8.A.1'!$H$4:$H$217,_xlfn.XLOOKUP(B23,'1.4 V3 CH7 T7.8'!$B$4:$B$54,'1.4 V3 CH7 T7.8'!$O$4:$O$54,"No se encuentra"))</f>
        <v>1923.4</v>
      </c>
      <c r="H23" s="115" t="str">
        <f t="shared" si="0"/>
        <v>kgCO2e/kilogramos</v>
      </c>
      <c r="I23" s="79" t="s">
        <v>723</v>
      </c>
    </row>
    <row r="24" spans="2:9" ht="14.4">
      <c r="B24" s="79" t="s">
        <v>160</v>
      </c>
      <c r="C24" s="79" t="s">
        <v>160</v>
      </c>
      <c r="D24" s="79" t="s">
        <v>722</v>
      </c>
      <c r="E24" s="79" t="s">
        <v>160</v>
      </c>
      <c r="F24" s="408" t="s">
        <v>107</v>
      </c>
      <c r="G24" s="107">
        <f>_xlfn.XLOOKUP(B24,'1.4 AR5 CH8  T8.A.1'!$A$4:$A$217,'1.4 AR5 CH8  T8.A.1'!$H$4:$H$217,_xlfn.XLOOKUP(B24,'1.4 V3 CH7 T7.8'!$B$4:$B$54,'1.4 V3 CH7 T7.8'!$O$4:$O$54,"No se encuentra"))</f>
        <v>2546.6999999999998</v>
      </c>
      <c r="H24" s="115" t="str">
        <f t="shared" si="0"/>
        <v>kgCO2e/kilogramos</v>
      </c>
      <c r="I24" s="79" t="s">
        <v>723</v>
      </c>
    </row>
    <row r="25" spans="2:9" ht="14.4">
      <c r="B25" s="79" t="s">
        <v>161</v>
      </c>
      <c r="C25" s="79" t="s">
        <v>161</v>
      </c>
      <c r="D25" s="79" t="s">
        <v>722</v>
      </c>
      <c r="E25" s="79" t="s">
        <v>161</v>
      </c>
      <c r="F25" s="408" t="s">
        <v>107</v>
      </c>
      <c r="G25" s="107">
        <f>_xlfn.XLOOKUP(B25,'1.4 AR5 CH8  T8.A.1'!$A$4:$A$217,'1.4 AR5 CH8  T8.A.1'!$H$4:$H$217,_xlfn.XLOOKUP(B25,'1.4 V3 CH7 T7.8'!$B$4:$B$54,'1.4 V3 CH7 T7.8'!$O$4:$O$54,"No se encuentra"))</f>
        <v>1624.21</v>
      </c>
      <c r="H25" s="115" t="str">
        <f t="shared" si="0"/>
        <v>kgCO2e/kilogramos</v>
      </c>
      <c r="I25" s="79" t="s">
        <v>723</v>
      </c>
    </row>
    <row r="26" spans="2:9" ht="14.4">
      <c r="B26" s="79" t="s">
        <v>162</v>
      </c>
      <c r="C26" s="79" t="s">
        <v>162</v>
      </c>
      <c r="D26" s="79" t="s">
        <v>722</v>
      </c>
      <c r="E26" s="79" t="s">
        <v>162</v>
      </c>
      <c r="F26" s="408" t="s">
        <v>107</v>
      </c>
      <c r="G26" s="107">
        <f>_xlfn.XLOOKUP(B26,'1.4 AR5 CH8  T8.A.1'!$A$4:$A$217,'1.4 AR5 CH8  T8.A.1'!$H$4:$H$217,_xlfn.XLOOKUP(B26,'1.4 V3 CH7 T7.8'!$B$4:$B$54,'1.4 V3 CH7 T7.8'!$O$4:$O$54,"No se encuentra"))</f>
        <v>1923.5</v>
      </c>
      <c r="H26" s="115" t="str">
        <f t="shared" si="0"/>
        <v>kgCO2e/kilogramos</v>
      </c>
      <c r="I26" s="79" t="s">
        <v>723</v>
      </c>
    </row>
    <row r="27" spans="2:9" ht="14.4">
      <c r="B27" s="79" t="s">
        <v>163</v>
      </c>
      <c r="C27" s="79" t="s">
        <v>163</v>
      </c>
      <c r="D27" s="79" t="s">
        <v>722</v>
      </c>
      <c r="E27" s="79" t="s">
        <v>163</v>
      </c>
      <c r="F27" s="408" t="s">
        <v>107</v>
      </c>
      <c r="G27" s="107">
        <f>_xlfn.XLOOKUP(B27,'1.4 AR5 CH8  T8.A.1'!$A$4:$A$217,'1.4 AR5 CH8  T8.A.1'!$H$4:$H$217,_xlfn.XLOOKUP(B27,'1.4 V3 CH7 T7.8'!$B$4:$B$54,'1.4 V3 CH7 T7.8'!$O$4:$O$54,"No se encuentra"))</f>
        <v>2048.15</v>
      </c>
      <c r="H27" s="115" t="str">
        <f t="shared" si="0"/>
        <v>kgCO2e/kilogramos</v>
      </c>
      <c r="I27" s="79" t="s">
        <v>723</v>
      </c>
    </row>
    <row r="28" spans="2:9" ht="14.4">
      <c r="B28" s="79" t="s">
        <v>164</v>
      </c>
      <c r="C28" s="79" t="s">
        <v>164</v>
      </c>
      <c r="D28" s="79" t="s">
        <v>722</v>
      </c>
      <c r="E28" s="79" t="s">
        <v>164</v>
      </c>
      <c r="F28" s="408" t="s">
        <v>107</v>
      </c>
      <c r="G28" s="107">
        <f>_xlfn.XLOOKUP(B28,'1.4 AR5 CH8  T8.A.1'!$A$4:$A$217,'1.4 AR5 CH8  T8.A.1'!$H$4:$H$217,_xlfn.XLOOKUP(B28,'1.4 V3 CH7 T7.8'!$B$4:$B$54,'1.4 V3 CH7 T7.8'!$O$4:$O$54,"No se encuentra"))</f>
        <v>1120</v>
      </c>
      <c r="H28" s="115" t="str">
        <f t="shared" si="0"/>
        <v>kgCO2e/kilogramos</v>
      </c>
      <c r="I28" s="79" t="s">
        <v>723</v>
      </c>
    </row>
    <row r="29" spans="2:9" ht="14.4">
      <c r="B29" s="79" t="s">
        <v>735</v>
      </c>
      <c r="C29" s="79" t="s">
        <v>165</v>
      </c>
      <c r="D29" s="79" t="s">
        <v>722</v>
      </c>
      <c r="E29" s="79" t="s">
        <v>735</v>
      </c>
      <c r="F29" s="408" t="s">
        <v>107</v>
      </c>
      <c r="G29" s="107">
        <f>_xlfn.XLOOKUP(B29,'1.4 AR5 CH8  T8.A.1'!$A$4:$A$217,'1.4 AR5 CH8  T8.A.1'!$H$4:$H$217,_xlfn.XLOOKUP(B29,'1.4 V3 CH7 T7.8'!$B$4:$B$54,'1.4 V3 CH7 T7.8'!$O$4:$O$54,"No se encuentra"))</f>
        <v>3985</v>
      </c>
      <c r="H29" s="115" t="str">
        <f t="shared" si="0"/>
        <v>kgCO2e/kilogramos</v>
      </c>
      <c r="I29" s="79" t="s">
        <v>723</v>
      </c>
    </row>
    <row r="30" spans="2:9" ht="14.4">
      <c r="B30" s="79" t="s">
        <v>166</v>
      </c>
      <c r="C30" s="79" t="s">
        <v>166</v>
      </c>
      <c r="D30" s="79" t="s">
        <v>722</v>
      </c>
      <c r="E30" s="79" t="s">
        <v>166</v>
      </c>
      <c r="F30" s="408" t="s">
        <v>107</v>
      </c>
      <c r="G30" s="107">
        <f>_xlfn.XLOOKUP(B30,'1.4 AR5 CH8  T8.A.1'!$A$4:$A$217,'1.4 AR5 CH8  T8.A.1'!$H$4:$H$217,_xlfn.XLOOKUP(B30,'1.4 V3 CH7 T7.8'!$B$4:$B$54,'1.4 V3 CH7 T7.8'!$O$4:$O$54,"No se encuentra"))</f>
        <v>11607</v>
      </c>
      <c r="H30" s="115" t="str">
        <f t="shared" si="0"/>
        <v>kgCO2e/kilogramos</v>
      </c>
      <c r="I30" s="79" t="s">
        <v>723</v>
      </c>
    </row>
    <row r="31" spans="2:9" ht="14.4">
      <c r="B31" s="79" t="s">
        <v>167</v>
      </c>
      <c r="C31" s="79" t="s">
        <v>167</v>
      </c>
      <c r="D31" s="79" t="s">
        <v>722</v>
      </c>
      <c r="E31" s="79" t="s">
        <v>167</v>
      </c>
      <c r="F31" s="408" t="s">
        <v>107</v>
      </c>
      <c r="G31" s="107">
        <f>_xlfn.XLOOKUP(B31,'1.4 AR5 CH8  T8.A.1'!$A$4:$A$217,'1.4 AR5 CH8  T8.A.1'!$H$4:$H$217,_xlfn.XLOOKUP(B31,'1.4 V3 CH7 T7.8'!$B$4:$B$54,'1.4 V3 CH7 T7.8'!$O$4:$O$54,"No se encuentra"))</f>
        <v>11698</v>
      </c>
      <c r="H31" s="115" t="str">
        <f t="shared" si="0"/>
        <v>kgCO2e/kilogramos</v>
      </c>
      <c r="I31" s="79" t="s">
        <v>723</v>
      </c>
    </row>
    <row r="32" spans="2:9" ht="14.4">
      <c r="B32" s="79" t="s">
        <v>736</v>
      </c>
      <c r="C32" s="79" t="s">
        <v>168</v>
      </c>
      <c r="D32" s="79" t="s">
        <v>722</v>
      </c>
      <c r="E32" s="79" t="s">
        <v>736</v>
      </c>
      <c r="F32" s="408" t="s">
        <v>107</v>
      </c>
      <c r="G32" s="107">
        <f>_xlfn.XLOOKUP(B32,'1.4 AR5 CH8  T8.A.1'!$A$4:$A$217,'1.4 AR5 CH8  T8.A.1'!$H$4:$H$217,_xlfn.XLOOKUP(B32,'1.4 V3 CH7 T7.8'!$B$4:$B$54,'1.4 V3 CH7 T7.8'!$O$4:$O$54,"No se encuentra"))</f>
        <v>1790</v>
      </c>
      <c r="H32" s="115" t="str">
        <f t="shared" si="0"/>
        <v>kgCO2e/kilogramos</v>
      </c>
      <c r="I32" s="79" t="s">
        <v>723</v>
      </c>
    </row>
    <row r="33" spans="1:9" ht="14.4">
      <c r="A33" t="s">
        <v>737</v>
      </c>
      <c r="B33" s="79" t="s">
        <v>169</v>
      </c>
      <c r="C33" s="79" t="s">
        <v>169</v>
      </c>
      <c r="D33" s="79" t="s">
        <v>722</v>
      </c>
      <c r="E33" s="79" t="s">
        <v>169</v>
      </c>
      <c r="F33" s="408" t="s">
        <v>107</v>
      </c>
      <c r="G33" s="107">
        <f>_xlfn.XLOOKUP(B33,'1.4 AR5 CH8  T8.A.1'!$A$4:$A$217,'1.4 AR5 CH8  T8.A.1'!$H$4:$H$217,_xlfn.XLOOKUP(B33,'1.4 V3 CH7 T7.8'!$B$4:$B$54,'1.4 V3 CH7 T7.8'!$O$4:$O$54,"No se encuentra"))</f>
        <v>1300</v>
      </c>
      <c r="H33" s="115" t="str">
        <f t="shared" si="0"/>
        <v>kgCO2e/kilogramos</v>
      </c>
      <c r="I33" s="79" t="s">
        <v>723</v>
      </c>
    </row>
    <row r="34" spans="1:9" ht="14.4">
      <c r="B34" s="79" t="s">
        <v>170</v>
      </c>
      <c r="C34" s="79" t="s">
        <v>170</v>
      </c>
      <c r="D34" s="79" t="s">
        <v>722</v>
      </c>
      <c r="E34" s="79" t="s">
        <v>170</v>
      </c>
      <c r="F34" s="408" t="s">
        <v>107</v>
      </c>
      <c r="G34" s="107">
        <f>_xlfn.XLOOKUP(B34,'1.4 AR5 CH8  T8.A.1'!$A$4:$A$217,'1.4 AR5 CH8  T8.A.1'!$H$4:$H$217,_xlfn.XLOOKUP(B34,'1.4 V3 CH7 T7.8'!$B$4:$B$54,'1.4 V3 CH7 T7.8'!$O$4:$O$54,"No se encuentra"))</f>
        <v>328</v>
      </c>
      <c r="H34" s="115" t="str">
        <f t="shared" si="0"/>
        <v>kgCO2e/kilogramos</v>
      </c>
      <c r="I34" s="79" t="s">
        <v>723</v>
      </c>
    </row>
    <row r="35" spans="1:9" ht="14.4">
      <c r="B35" s="79" t="s">
        <v>171</v>
      </c>
      <c r="C35" s="79" t="s">
        <v>171</v>
      </c>
      <c r="D35" s="79" t="s">
        <v>722</v>
      </c>
      <c r="E35" s="79" t="s">
        <v>171</v>
      </c>
      <c r="F35" s="408" t="s">
        <v>107</v>
      </c>
      <c r="G35" s="107">
        <f>_xlfn.XLOOKUP(B35,'1.4 AR5 CH8  T8.A.1'!$A$4:$A$217,'1.4 AR5 CH8  T8.A.1'!$H$4:$H$217,_xlfn.XLOOKUP(B35,'1.4 V3 CH7 T7.8'!$B$4:$B$54,'1.4 V3 CH7 T7.8'!$O$4:$O$54,"No se encuentra"))</f>
        <v>4800</v>
      </c>
      <c r="H35" s="115" t="str">
        <f t="shared" si="0"/>
        <v>kgCO2e/kilogramos</v>
      </c>
      <c r="I35" s="79" t="s">
        <v>723</v>
      </c>
    </row>
    <row r="36" spans="1:9" ht="14.4">
      <c r="B36" s="79" t="s">
        <v>172</v>
      </c>
      <c r="C36" s="79" t="s">
        <v>172</v>
      </c>
      <c r="D36" s="79" t="s">
        <v>722</v>
      </c>
      <c r="E36" s="79" t="s">
        <v>172</v>
      </c>
      <c r="F36" s="408" t="s">
        <v>107</v>
      </c>
      <c r="G36" s="107">
        <f>_xlfn.XLOOKUP(B36,'1.4 AR5 CH8  T8.A.1'!$A$4:$A$217,'1.4 AR5 CH8  T8.A.1'!$H$4:$H$217,_xlfn.XLOOKUP(B36,'1.4 V3 CH7 T7.8'!$B$4:$B$54,'1.4 V3 CH7 T7.8'!$O$4:$O$54,"No se encuentra"))</f>
        <v>138</v>
      </c>
      <c r="H36" s="115" t="str">
        <f t="shared" si="0"/>
        <v>kgCO2e/kilogramos</v>
      </c>
      <c r="I36" s="79" t="s">
        <v>723</v>
      </c>
    </row>
    <row r="37" spans="1:9" ht="14.4">
      <c r="B37" s="79" t="s">
        <v>173</v>
      </c>
      <c r="C37" s="79" t="s">
        <v>173</v>
      </c>
      <c r="D37" s="79" t="s">
        <v>722</v>
      </c>
      <c r="E37" s="79" t="s">
        <v>173</v>
      </c>
      <c r="F37" s="408" t="s">
        <v>107</v>
      </c>
      <c r="G37" s="107">
        <f>_xlfn.XLOOKUP(B37,'1.4 AR5 CH8  T8.A.1'!$A$4:$A$217,'1.4 AR5 CH8  T8.A.1'!$H$4:$H$217,_xlfn.XLOOKUP(B37,'1.4 V3 CH7 T7.8'!$B$4:$B$54,'1.4 V3 CH7 T7.8'!$O$4:$O$54,"No se encuentra"))</f>
        <v>3350</v>
      </c>
      <c r="H37" s="115" t="str">
        <f t="shared" si="0"/>
        <v>kgCO2e/kilogramos</v>
      </c>
      <c r="I37" s="79" t="s">
        <v>723</v>
      </c>
    </row>
    <row r="38" spans="1:9" ht="14.4">
      <c r="B38" s="79" t="s">
        <v>174</v>
      </c>
      <c r="C38" s="79" t="s">
        <v>174</v>
      </c>
      <c r="D38" s="79" t="s">
        <v>722</v>
      </c>
      <c r="E38" s="79" t="s">
        <v>174</v>
      </c>
      <c r="F38" s="408" t="s">
        <v>107</v>
      </c>
      <c r="G38" s="107">
        <f>_xlfn.XLOOKUP(B38,'1.4 AR5 CH8  T8.A.1'!$A$4:$A$217,'1.4 AR5 CH8  T8.A.1'!$H$4:$H$217,_xlfn.XLOOKUP(B38,'1.4 V3 CH7 T7.8'!$B$4:$B$54,'1.4 V3 CH7 T7.8'!$O$4:$O$54,"No se encuentra"))</f>
        <v>12400</v>
      </c>
      <c r="H38" s="115" t="str">
        <f t="shared" si="0"/>
        <v>kgCO2e/kilogramos</v>
      </c>
      <c r="I38" s="79" t="s">
        <v>723</v>
      </c>
    </row>
    <row r="39" spans="1:9" ht="14.4">
      <c r="B39" s="79" t="s">
        <v>175</v>
      </c>
      <c r="C39" s="79" t="s">
        <v>175</v>
      </c>
      <c r="D39" s="79" t="s">
        <v>722</v>
      </c>
      <c r="E39" s="79" t="s">
        <v>175</v>
      </c>
      <c r="F39" s="408" t="s">
        <v>107</v>
      </c>
      <c r="G39" s="107">
        <f>_xlfn.XLOOKUP(B39,'1.4 AR5 CH8  T8.A.1'!$A$4:$A$217,'1.4 AR5 CH8  T8.A.1'!$H$4:$H$217,_xlfn.XLOOKUP(B39,'1.4 V3 CH7 T7.8'!$B$4:$B$54,'1.4 V3 CH7 T7.8'!$O$4:$O$54,"No se encuentra"))</f>
        <v>8060</v>
      </c>
      <c r="H39" s="115" t="str">
        <f t="shared" si="0"/>
        <v>kgCO2e/kilogramos</v>
      </c>
      <c r="I39" s="79" t="s">
        <v>723</v>
      </c>
    </row>
    <row r="40" spans="1:9" ht="14.4">
      <c r="B40" s="79" t="s">
        <v>738</v>
      </c>
      <c r="C40" s="79" t="s">
        <v>176</v>
      </c>
      <c r="D40" s="79" t="s">
        <v>739</v>
      </c>
      <c r="E40" s="79" t="s">
        <v>738</v>
      </c>
      <c r="F40" s="408" t="s">
        <v>107</v>
      </c>
      <c r="G40" s="107">
        <f>_xlfn.XLOOKUP(B40,'1.4 AR5 CH8  T8.A.1'!$A$4:$A$217,'1.4 AR5 CH8  T8.A.1'!$H$4:$H$217,_xlfn.XLOOKUP(B40,'1.4 V3 CH7 T7.8'!$B$4:$B$54,'1.4 V3 CH7 T7.8'!$O$4:$O$54,"No se encuentra"))</f>
        <v>1760</v>
      </c>
      <c r="H40" s="115" t="str">
        <f t="shared" si="0"/>
        <v>kgCO2e/kilogramos</v>
      </c>
      <c r="I40" s="79" t="s">
        <v>723</v>
      </c>
    </row>
    <row r="41" spans="1:9" ht="14.4">
      <c r="B41" s="79" t="s">
        <v>740</v>
      </c>
      <c r="C41" s="79" t="s">
        <v>177</v>
      </c>
      <c r="D41" s="79" t="s">
        <v>739</v>
      </c>
      <c r="E41" s="79" t="s">
        <v>740</v>
      </c>
      <c r="F41" s="408" t="s">
        <v>107</v>
      </c>
      <c r="G41" s="107">
        <f>_xlfn.XLOOKUP(B41,'1.4 AR5 CH8  T8.A.1'!$A$4:$A$217,'1.4 AR5 CH8  T8.A.1'!$H$4:$H$217,_xlfn.XLOOKUP(B41,'1.4 V3 CH7 T7.8'!$B$4:$B$54,'1.4 V3 CH7 T7.8'!$O$4:$O$54,"No se encuentra"))</f>
        <v>4660</v>
      </c>
      <c r="H41" s="115" t="str">
        <f t="shared" si="0"/>
        <v>kgCO2e/kilogramos</v>
      </c>
      <c r="I41" s="79" t="s">
        <v>723</v>
      </c>
    </row>
    <row r="42" spans="1:9" ht="14.4">
      <c r="B42" s="79" t="s">
        <v>741</v>
      </c>
      <c r="C42" s="79" t="s">
        <v>178</v>
      </c>
      <c r="D42" s="79" t="s">
        <v>739</v>
      </c>
      <c r="E42" s="79" t="s">
        <v>741</v>
      </c>
      <c r="F42" s="408" t="s">
        <v>107</v>
      </c>
      <c r="G42" s="107">
        <f>_xlfn.XLOOKUP(B42,'1.4 AR5 CH8  T8.A.1'!$A$4:$A$217,'1.4 AR5 CH8  T8.A.1'!$H$4:$H$217,_xlfn.XLOOKUP(B42,'1.4 V3 CH7 T7.8'!$B$4:$B$54,'1.4 V3 CH7 T7.8'!$O$4:$O$54,"No se encuentra"))</f>
        <v>10200</v>
      </c>
      <c r="H42" s="115" t="str">
        <f t="shared" si="0"/>
        <v>kgCO2e/kilogramos</v>
      </c>
      <c r="I42" s="79" t="s">
        <v>723</v>
      </c>
    </row>
    <row r="43" spans="1:9" ht="14.4">
      <c r="B43" s="79" t="s">
        <v>179</v>
      </c>
      <c r="C43" s="79" t="s">
        <v>179</v>
      </c>
      <c r="D43" s="79" t="s">
        <v>739</v>
      </c>
      <c r="E43" s="79" t="s">
        <v>179</v>
      </c>
      <c r="F43" s="408" t="s">
        <v>107</v>
      </c>
      <c r="G43" s="107">
        <f>_xlfn.XLOOKUP(B43,'1.4 AR5 CH8  T8.A.1'!$A$4:$A$217,'1.4 AR5 CH8  T8.A.1'!$H$4:$H$217,_xlfn.XLOOKUP(B43,'1.4 V3 CH7 T7.8'!$B$4:$B$54,'1.4 V3 CH7 T7.8'!$O$4:$O$54,"No se encuentra"))</f>
        <v>13900</v>
      </c>
      <c r="H43" s="115" t="str">
        <f t="shared" si="0"/>
        <v>kgCO2e/kilogramos</v>
      </c>
      <c r="I43" s="79" t="s">
        <v>723</v>
      </c>
    </row>
    <row r="44" spans="1:9" ht="14.4">
      <c r="B44" s="79" t="s">
        <v>180</v>
      </c>
      <c r="C44" s="79" t="s">
        <v>180</v>
      </c>
      <c r="D44" s="79" t="s">
        <v>739</v>
      </c>
      <c r="E44" s="79" t="s">
        <v>180</v>
      </c>
      <c r="F44" s="408" t="s">
        <v>107</v>
      </c>
      <c r="G44" s="107">
        <f>_xlfn.XLOOKUP(B44,'1.4 AR5 CH8  T8.A.1'!$A$4:$A$217,'1.4 AR5 CH8  T8.A.1'!$H$4:$H$217,_xlfn.XLOOKUP(B44,'1.4 V3 CH7 T7.8'!$B$4:$B$54,'1.4 V3 CH7 T7.8'!$O$4:$O$54,"No se encuentra"))</f>
        <v>5820</v>
      </c>
      <c r="H44" s="115" t="str">
        <f t="shared" si="0"/>
        <v>kgCO2e/kilogramos</v>
      </c>
      <c r="I44" s="79" t="s">
        <v>723</v>
      </c>
    </row>
    <row r="45" spans="1:9" ht="14.4">
      <c r="B45" s="79" t="s">
        <v>181</v>
      </c>
      <c r="C45" s="79" t="s">
        <v>181</v>
      </c>
      <c r="D45" s="79" t="s">
        <v>739</v>
      </c>
      <c r="E45" s="79" t="s">
        <v>181</v>
      </c>
      <c r="F45" s="408" t="s">
        <v>107</v>
      </c>
      <c r="G45" s="107">
        <f>_xlfn.XLOOKUP(B45,'1.4 AR5 CH8  T8.A.1'!$A$4:$A$217,'1.4 AR5 CH8  T8.A.1'!$H$4:$H$217,_xlfn.XLOOKUP(B45,'1.4 V3 CH7 T7.8'!$B$4:$B$54,'1.4 V3 CH7 T7.8'!$O$4:$O$54,"No se encuentra"))</f>
        <v>8590</v>
      </c>
      <c r="H45" s="115" t="str">
        <f t="shared" si="0"/>
        <v>kgCO2e/kilogramos</v>
      </c>
      <c r="I45" s="79" t="s">
        <v>723</v>
      </c>
    </row>
    <row r="46" spans="1:9" ht="14.4">
      <c r="B46" s="79" t="s">
        <v>182</v>
      </c>
      <c r="C46" s="79" t="s">
        <v>182</v>
      </c>
      <c r="D46" s="79" t="s">
        <v>739</v>
      </c>
      <c r="E46" s="79" t="s">
        <v>182</v>
      </c>
      <c r="F46" s="408" t="s">
        <v>107</v>
      </c>
      <c r="G46" s="107">
        <f>_xlfn.XLOOKUP(B46,'1.4 AR5 CH8  T8.A.1'!$A$4:$A$217,'1.4 AR5 CH8  T8.A.1'!$H$4:$H$217,_xlfn.XLOOKUP(B46,'1.4 V3 CH7 T7.8'!$B$4:$B$54,'1.4 V3 CH7 T7.8'!$O$4:$O$54,"No se encuentra"))</f>
        <v>7670</v>
      </c>
      <c r="H46" s="115" t="str">
        <f t="shared" si="0"/>
        <v>kgCO2e/kilogramos</v>
      </c>
      <c r="I46" s="79" t="s">
        <v>723</v>
      </c>
    </row>
    <row r="47" spans="1:9" ht="14.4">
      <c r="B47" s="79" t="s">
        <v>183</v>
      </c>
      <c r="C47" s="79" t="s">
        <v>183</v>
      </c>
      <c r="D47" s="79" t="s">
        <v>739</v>
      </c>
      <c r="E47" s="79" t="s">
        <v>183</v>
      </c>
      <c r="F47" s="408" t="s">
        <v>107</v>
      </c>
      <c r="G47" s="107">
        <f>_xlfn.XLOOKUP(B47,'1.4 AR5 CH8  T8.A.1'!$A$4:$A$217,'1.4 AR5 CH8  T8.A.1'!$H$4:$H$217,_xlfn.XLOOKUP(B47,'1.4 V3 CH7 T7.8'!$B$4:$B$54,'1.4 V3 CH7 T7.8'!$O$4:$O$54,"No se encuentra"))</f>
        <v>1750</v>
      </c>
      <c r="H47" s="115" t="str">
        <f t="shared" si="0"/>
        <v>kgCO2e/kilogramos</v>
      </c>
      <c r="I47" s="79" t="s">
        <v>723</v>
      </c>
    </row>
    <row r="48" spans="1:9" ht="14.4">
      <c r="B48" s="79" t="s">
        <v>184</v>
      </c>
      <c r="C48" s="79" t="s">
        <v>184</v>
      </c>
      <c r="D48" s="79" t="s">
        <v>739</v>
      </c>
      <c r="E48" s="79" t="s">
        <v>184</v>
      </c>
      <c r="F48" s="408" t="s">
        <v>107</v>
      </c>
      <c r="G48" s="107">
        <f>_xlfn.XLOOKUP(B48,'1.4 AR5 CH8  T8.A.1'!$A$4:$A$217,'1.4 AR5 CH8  T8.A.1'!$H$4:$H$217,_xlfn.XLOOKUP(B48,'1.4 V3 CH7 T7.8'!$B$4:$B$54,'1.4 V3 CH7 T7.8'!$O$4:$O$54,"No se encuentra"))</f>
        <v>6290</v>
      </c>
      <c r="H48" s="115" t="str">
        <f t="shared" si="0"/>
        <v>kgCO2e/kilogramos</v>
      </c>
      <c r="I48" s="79" t="s">
        <v>723</v>
      </c>
    </row>
    <row r="49" spans="2:9" ht="14.4">
      <c r="B49" s="79" t="s">
        <v>185</v>
      </c>
      <c r="C49" s="79" t="s">
        <v>185</v>
      </c>
      <c r="D49" s="79" t="s">
        <v>739</v>
      </c>
      <c r="E49" s="79" t="s">
        <v>185</v>
      </c>
      <c r="F49" s="408" t="s">
        <v>107</v>
      </c>
      <c r="G49" s="107">
        <f>_xlfn.XLOOKUP(B49,'1.4 AR5 CH8  T8.A.1'!$A$4:$A$217,'1.4 AR5 CH8  T8.A.1'!$H$4:$H$217,_xlfn.XLOOKUP(B49,'1.4 V3 CH7 T7.8'!$B$4:$B$54,'1.4 V3 CH7 T7.8'!$O$4:$O$54,"No se encuentra"))</f>
        <v>1470</v>
      </c>
      <c r="H49" s="115" t="str">
        <f t="shared" si="0"/>
        <v>kgCO2e/kilogramos</v>
      </c>
      <c r="I49" s="79" t="s">
        <v>723</v>
      </c>
    </row>
    <row r="50" spans="2:9" ht="14.4">
      <c r="B50" s="79" t="s">
        <v>742</v>
      </c>
      <c r="C50" s="79" t="s">
        <v>186</v>
      </c>
      <c r="D50" s="79" t="s">
        <v>739</v>
      </c>
      <c r="E50" s="79" t="s">
        <v>742</v>
      </c>
      <c r="F50" s="408" t="s">
        <v>107</v>
      </c>
      <c r="G50" s="107">
        <f>_xlfn.XLOOKUP(B50,'1.4 AR5 CH8  T8.A.1'!$A$4:$A$217,'1.4 AR5 CH8  T8.A.1'!$H$4:$H$217,_xlfn.XLOOKUP(B50,'1.4 V3 CH7 T7.8'!$B$4:$B$54,'1.4 V3 CH7 T7.8'!$O$4:$O$54,"No se encuentra"))</f>
        <v>2</v>
      </c>
      <c r="H50" s="115" t="str">
        <f t="shared" si="0"/>
        <v>kgCO2e/kilogramos</v>
      </c>
      <c r="I50" s="79" t="s">
        <v>723</v>
      </c>
    </row>
    <row r="51" spans="2:9" ht="14.4">
      <c r="B51" s="79" t="s">
        <v>187</v>
      </c>
      <c r="C51" s="79" t="s">
        <v>187</v>
      </c>
      <c r="D51" s="79" t="s">
        <v>739</v>
      </c>
      <c r="E51" s="79" t="s">
        <v>187</v>
      </c>
      <c r="F51" s="408" t="s">
        <v>107</v>
      </c>
      <c r="G51" s="107">
        <f>_xlfn.XLOOKUP(B51,'1.4 AR5 CH8  T8.A.1'!$A$4:$A$217,'1.4 AR5 CH8  T8.A.1'!$H$4:$H$217,_xlfn.XLOOKUP(B51,'1.4 V3 CH7 T7.8'!$B$4:$B$54,'1.4 V3 CH7 T7.8'!$O$4:$O$54,"No se encuentra"))</f>
        <v>79</v>
      </c>
      <c r="H51" s="115" t="str">
        <f t="shared" si="0"/>
        <v>kgCO2e/kilogramos</v>
      </c>
      <c r="I51" s="79" t="s">
        <v>723</v>
      </c>
    </row>
    <row r="52" spans="2:9" ht="14.4">
      <c r="B52" s="79" t="s">
        <v>188</v>
      </c>
      <c r="C52" s="79" t="s">
        <v>188</v>
      </c>
      <c r="D52" s="79" t="s">
        <v>739</v>
      </c>
      <c r="E52" s="79" t="s">
        <v>188</v>
      </c>
      <c r="F52" s="408" t="s">
        <v>107</v>
      </c>
      <c r="G52" s="107">
        <f>_xlfn.XLOOKUP(B52,'1.4 AR5 CH8  T8.A.1'!$A$4:$A$217,'1.4 AR5 CH8  T8.A.1'!$H$4:$H$217,_xlfn.XLOOKUP(B52,'1.4 V3 CH7 T7.8'!$B$4:$B$54,'1.4 V3 CH7 T7.8'!$O$4:$O$54,"No se encuentra"))</f>
        <v>527</v>
      </c>
      <c r="H52" s="115" t="str">
        <f t="shared" si="0"/>
        <v>kgCO2e/kilogramos</v>
      </c>
      <c r="I52" s="79" t="s">
        <v>723</v>
      </c>
    </row>
    <row r="53" spans="2:9" ht="14.4">
      <c r="B53" s="79" t="s">
        <v>189</v>
      </c>
      <c r="C53" s="79" t="s">
        <v>189</v>
      </c>
      <c r="D53" s="79" t="s">
        <v>739</v>
      </c>
      <c r="E53" s="79" t="s">
        <v>189</v>
      </c>
      <c r="F53" s="408" t="s">
        <v>107</v>
      </c>
      <c r="G53" s="107">
        <f>_xlfn.XLOOKUP(B53,'1.4 AR5 CH8  T8.A.1'!$A$4:$A$217,'1.4 AR5 CH8  T8.A.1'!$H$4:$H$217,_xlfn.XLOOKUP(B53,'1.4 V3 CH7 T7.8'!$B$4:$B$54,'1.4 V3 CH7 T7.8'!$O$4:$O$54,"No se encuentra"))</f>
        <v>782</v>
      </c>
      <c r="H53" s="115" t="str">
        <f t="shared" si="0"/>
        <v>kgCO2e/kilogramos</v>
      </c>
      <c r="I53" s="79" t="s">
        <v>723</v>
      </c>
    </row>
    <row r="54" spans="2:9" ht="14.4">
      <c r="B54" s="79" t="s">
        <v>190</v>
      </c>
      <c r="C54" s="79" t="s">
        <v>190</v>
      </c>
      <c r="D54" s="79" t="s">
        <v>739</v>
      </c>
      <c r="E54" s="79" t="s">
        <v>190</v>
      </c>
      <c r="F54" s="408" t="s">
        <v>107</v>
      </c>
      <c r="G54" s="107">
        <f>_xlfn.XLOOKUP(B54,'1.4 AR5 CH8  T8.A.1'!$A$4:$A$217,'1.4 AR5 CH8  T8.A.1'!$H$4:$H$217,_xlfn.XLOOKUP(B54,'1.4 V3 CH7 T7.8'!$B$4:$B$54,'1.4 V3 CH7 T7.8'!$O$4:$O$54,"No se encuentra"))</f>
        <v>1980</v>
      </c>
      <c r="H54" s="115" t="str">
        <f t="shared" si="0"/>
        <v>kgCO2e/kilogramos</v>
      </c>
      <c r="I54" s="79" t="s">
        <v>723</v>
      </c>
    </row>
    <row r="55" spans="2:9" ht="14.4">
      <c r="B55" s="79" t="s">
        <v>191</v>
      </c>
      <c r="C55" s="79" t="s">
        <v>191</v>
      </c>
      <c r="D55" s="79" t="s">
        <v>739</v>
      </c>
      <c r="E55" s="79" t="s">
        <v>191</v>
      </c>
      <c r="F55" s="408" t="s">
        <v>107</v>
      </c>
      <c r="G55" s="107">
        <f>_xlfn.XLOOKUP(B55,'1.4 AR5 CH8  T8.A.1'!$A$4:$A$217,'1.4 AR5 CH8  T8.A.1'!$H$4:$H$217,_xlfn.XLOOKUP(B55,'1.4 V3 CH7 T7.8'!$B$4:$B$54,'1.4 V3 CH7 T7.8'!$O$4:$O$54,"No se encuentra"))</f>
        <v>127</v>
      </c>
      <c r="H55" s="115" t="str">
        <f t="shared" si="0"/>
        <v>kgCO2e/kilogramos</v>
      </c>
      <c r="I55" s="79" t="s">
        <v>723</v>
      </c>
    </row>
    <row r="56" spans="2:9" ht="14.4">
      <c r="B56" s="79" t="s">
        <v>192</v>
      </c>
      <c r="C56" s="79" t="s">
        <v>192</v>
      </c>
      <c r="D56" s="79" t="s">
        <v>739</v>
      </c>
      <c r="E56" s="79" t="s">
        <v>192</v>
      </c>
      <c r="F56" s="408" t="s">
        <v>107</v>
      </c>
      <c r="G56" s="107">
        <f>_xlfn.XLOOKUP(B56,'1.4 AR5 CH8  T8.A.1'!$A$4:$A$217,'1.4 AR5 CH8  T8.A.1'!$H$4:$H$217,_xlfn.XLOOKUP(B56,'1.4 V3 CH7 T7.8'!$B$4:$B$54,'1.4 V3 CH7 T7.8'!$O$4:$O$54,"No se encuentra"))</f>
        <v>525</v>
      </c>
      <c r="H56" s="115" t="str">
        <f t="shared" si="0"/>
        <v>kgCO2e/kilogramos</v>
      </c>
      <c r="I56" s="79" t="s">
        <v>723</v>
      </c>
    </row>
    <row r="57" spans="2:9" ht="14.4">
      <c r="B57" s="79" t="s">
        <v>193</v>
      </c>
      <c r="C57" s="79" t="s">
        <v>193</v>
      </c>
      <c r="D57" s="79" t="s">
        <v>739</v>
      </c>
      <c r="E57" s="79" t="s">
        <v>193</v>
      </c>
      <c r="F57" s="408" t="s">
        <v>107</v>
      </c>
      <c r="G57" s="107">
        <f>_xlfn.XLOOKUP(B57,'1.4 AR5 CH8  T8.A.1'!$A$4:$A$217,'1.4 AR5 CH8  T8.A.1'!$H$4:$H$217,_xlfn.XLOOKUP(B57,'1.4 V3 CH7 T7.8'!$B$4:$B$54,'1.4 V3 CH7 T7.8'!$O$4:$O$54,"No se encuentra"))</f>
        <v>148</v>
      </c>
      <c r="H57" s="115" t="str">
        <f t="shared" si="0"/>
        <v>kgCO2e/kilogramos</v>
      </c>
      <c r="I57" s="79" t="s">
        <v>723</v>
      </c>
    </row>
    <row r="58" spans="2:9" ht="14.4">
      <c r="B58" s="85" t="s">
        <v>743</v>
      </c>
      <c r="C58" s="85" t="s">
        <v>194</v>
      </c>
      <c r="D58" s="462" t="s">
        <v>722</v>
      </c>
      <c r="E58" s="416" t="s">
        <v>743</v>
      </c>
      <c r="F58" s="463" t="s">
        <v>107</v>
      </c>
      <c r="G58" s="107">
        <f>_xlfn.XLOOKUP(B58,'1.4 AR5 CH8  T8.A.1'!$A$4:$A$217,'1.4 AR5 CH8  T8.A.1'!$H$4:$H$217,_xlfn.XLOOKUP(B58,'1.4 V3 CH7 T7.8'!$B$4:$B$54,'1.4 V3 CH7 T7.8'!$O$4:$O$54,"No se encuentra"))</f>
        <v>1</v>
      </c>
      <c r="H58" s="115" t="str">
        <f t="shared" si="0"/>
        <v>kgCO2e/kilogramos</v>
      </c>
      <c r="I58" s="408" t="s">
        <v>744</v>
      </c>
    </row>
    <row r="59" spans="2:9" ht="14.4">
      <c r="B59" s="85" t="s">
        <v>745</v>
      </c>
      <c r="C59" s="85" t="s">
        <v>195</v>
      </c>
      <c r="D59" s="462" t="s">
        <v>722</v>
      </c>
      <c r="E59" s="463" t="s">
        <v>745</v>
      </c>
      <c r="F59" s="463" t="s">
        <v>107</v>
      </c>
      <c r="G59" s="464">
        <f>_xlfn.XLOOKUP(B59,'1.4 AR5 CH8  T8.A.1'!$A$4:$A$217,'1.4 AR5 CH8  T8.A.1'!$H$4:$H$217,_xlfn.XLOOKUP(B59,'1.4 V3 CH7 T7.8'!$B$4:$B$54,'1.4 V3 CH7 T7.8'!$O$4:$O$54,"No se encuentra"))</f>
        <v>491</v>
      </c>
      <c r="H59" s="115" t="str">
        <f t="shared" si="0"/>
        <v>kgCO2e/kilogramos</v>
      </c>
      <c r="I59" s="463" t="s">
        <v>723</v>
      </c>
    </row>
    <row r="60" spans="2:9" ht="15" customHeight="1">
      <c r="B60" s="79" t="s">
        <v>746</v>
      </c>
      <c r="C60" s="79" t="s">
        <v>196</v>
      </c>
      <c r="D60" s="79" t="s">
        <v>722</v>
      </c>
      <c r="E60" s="79" t="s">
        <v>746</v>
      </c>
      <c r="F60" s="408" t="s">
        <v>107</v>
      </c>
      <c r="G60" s="107">
        <f>_xlfn.XLOOKUP(B60,'1.4 AR5 CH8  T8.A.1'!$A$4:$A$217,'1.4 AR5 CH8  T8.A.1'!$H$4:$H$217,_xlfn.XLOOKUP(B60,'1.4 V3 CH7 T7.8'!$B$4:$B$54,'1.4 V3 CH7 T7.8'!$O$4:$O$54,"No se encuentra"))</f>
        <v>216</v>
      </c>
      <c r="H60" s="115" t="str">
        <f t="shared" si="0"/>
        <v>kgCO2e/kilogramos</v>
      </c>
      <c r="I60" s="408" t="s">
        <v>723</v>
      </c>
    </row>
    <row r="61" spans="2:9" ht="15" customHeight="1">
      <c r="B61" s="79" t="s">
        <v>747</v>
      </c>
      <c r="C61" s="79" t="s">
        <v>197</v>
      </c>
      <c r="D61" s="79" t="s">
        <v>722</v>
      </c>
      <c r="E61" s="79" t="s">
        <v>747</v>
      </c>
      <c r="F61" s="408" t="s">
        <v>107</v>
      </c>
      <c r="G61" s="107">
        <f>_xlfn.XLOOKUP(B61,'1.4 AR5 CH8  T8.A.1'!$A$4:$A$217,'1.4 AR5 CH8  T8.A.1'!$H$4:$H$217,_xlfn.XLOOKUP(B61,'1.4 V3 CH7 T7.8'!$B$4:$B$54,'1.4 V3 CH7 T7.8'!$O$4:$O$54,"No se encuentra"))</f>
        <v>265</v>
      </c>
      <c r="H61" s="115" t="str">
        <f t="shared" si="0"/>
        <v>kgCO2e/kilogramos</v>
      </c>
      <c r="I61" s="408" t="s">
        <v>723</v>
      </c>
    </row>
    <row r="64" spans="2:9" ht="14.4">
      <c r="E64" s="155"/>
      <c r="F64" s="155"/>
    </row>
  </sheetData>
  <sheetProtection algorithmName="SHA-512" hashValue="GIwFTjQuHJOjFSDAZUJ+e7cgmtN46FOtQdYwsB10Xzs1ITjkAjNxw3d/akfOpbyqa7RMt2ZbvGL/QYqKVJXRTw==" saltValue="XrkKMxibB/jjfI2Rpv4Jfw==" spinCount="100000" sheet="1" objects="1" scenarios="1" autoFilter="0"/>
  <autoFilter ref="B6:I6" xr:uid="{00000000-0001-0000-1600-000000000000}"/>
  <phoneticPr fontId="40" type="noConversion"/>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N217"/>
  <sheetViews>
    <sheetView showGridLines="0" workbookViewId="0"/>
  </sheetViews>
  <sheetFormatPr baseColWidth="10" defaultColWidth="9.109375" defaultRowHeight="14.4"/>
  <cols>
    <col min="1" max="1" width="113.33203125" style="78" customWidth="1"/>
    <col min="2" max="2" width="50.33203125" style="78" hidden="1" customWidth="1"/>
    <col min="3" max="3" width="9.44140625" style="78" hidden="1" customWidth="1"/>
    <col min="4" max="4" width="20.44140625" style="78" hidden="1" customWidth="1"/>
    <col min="5" max="5" width="21" style="78" hidden="1" customWidth="1"/>
    <col min="6" max="6" width="7.88671875" style="78" hidden="1" customWidth="1"/>
    <col min="7" max="7" width="21.6640625" style="78" hidden="1" customWidth="1"/>
    <col min="8" max="8" width="9" style="78" bestFit="1" customWidth="1"/>
    <col min="9" max="9" width="12.5546875" style="78" hidden="1" customWidth="1"/>
    <col min="10" max="10" width="7.88671875" style="78" hidden="1" customWidth="1"/>
    <col min="11" max="11" width="12.5546875" hidden="1" customWidth="1"/>
    <col min="12" max="12" width="7.88671875" hidden="1" customWidth="1"/>
    <col min="13" max="13" width="12.5546875" hidden="1" customWidth="1"/>
    <col min="14" max="14" width="9" hidden="1" customWidth="1"/>
  </cols>
  <sheetData>
    <row r="1" spans="1:14">
      <c r="H1"/>
    </row>
    <row r="2" spans="1:14" ht="86.4">
      <c r="A2" s="429" t="s">
        <v>748</v>
      </c>
      <c r="B2" s="1"/>
      <c r="C2"/>
      <c r="D2"/>
      <c r="E2"/>
      <c r="F2"/>
      <c r="G2"/>
      <c r="H2"/>
      <c r="I2"/>
      <c r="J2"/>
    </row>
    <row r="3" spans="1:14" s="78" customFormat="1" ht="54" customHeight="1">
      <c r="A3" s="146" t="s">
        <v>749</v>
      </c>
      <c r="B3" s="148" t="s">
        <v>750</v>
      </c>
      <c r="C3" s="147" t="s">
        <v>751</v>
      </c>
      <c r="D3" s="147" t="s">
        <v>752</v>
      </c>
      <c r="E3" s="147" t="s">
        <v>753</v>
      </c>
      <c r="F3" s="147" t="s">
        <v>754</v>
      </c>
      <c r="G3" s="147" t="s">
        <v>755</v>
      </c>
      <c r="H3" s="457" t="s">
        <v>756</v>
      </c>
      <c r="I3" s="147" t="s">
        <v>757</v>
      </c>
      <c r="J3" s="147" t="s">
        <v>758</v>
      </c>
      <c r="K3" s="147" t="s">
        <v>759</v>
      </c>
      <c r="L3" s="147" t="s">
        <v>760</v>
      </c>
      <c r="M3" s="147" t="s">
        <v>761</v>
      </c>
      <c r="N3" s="147" t="s">
        <v>762</v>
      </c>
    </row>
    <row r="4" spans="1:14">
      <c r="A4" s="402" t="s">
        <v>743</v>
      </c>
      <c r="B4" s="430" t="s">
        <v>763</v>
      </c>
      <c r="C4" s="431" t="s">
        <v>764</v>
      </c>
      <c r="D4" s="431">
        <v>137</v>
      </c>
      <c r="E4" s="432">
        <v>2.4900000000000002E-10</v>
      </c>
      <c r="F4" s="433">
        <v>1</v>
      </c>
      <c r="G4" s="432">
        <v>9.1700000000000004E-10</v>
      </c>
      <c r="H4" s="458">
        <v>1</v>
      </c>
      <c r="I4" s="431">
        <v>680</v>
      </c>
      <c r="J4" s="433">
        <v>1</v>
      </c>
      <c r="K4" s="433">
        <v>610</v>
      </c>
      <c r="L4" s="433">
        <v>1</v>
      </c>
      <c r="M4" s="433">
        <v>540</v>
      </c>
      <c r="N4" s="433">
        <v>1</v>
      </c>
    </row>
    <row r="5" spans="1:14">
      <c r="A5" s="434" t="s">
        <v>733</v>
      </c>
      <c r="B5" s="431" t="s">
        <v>765</v>
      </c>
      <c r="C5" s="431" t="s">
        <v>766</v>
      </c>
      <c r="D5" s="431">
        <v>363</v>
      </c>
      <c r="E5" s="432">
        <v>2.0899999999999999E-8</v>
      </c>
      <c r="F5" s="433">
        <v>84</v>
      </c>
      <c r="G5" s="432">
        <v>2.6099999999999999E-8</v>
      </c>
      <c r="H5" s="458">
        <v>28</v>
      </c>
      <c r="I5" s="432">
        <v>4.6200000000000001E-10</v>
      </c>
      <c r="J5" s="433">
        <v>67</v>
      </c>
      <c r="K5" s="435">
        <v>8.6900000000000005E-11</v>
      </c>
      <c r="L5" s="433">
        <v>14</v>
      </c>
      <c r="M5" s="435">
        <v>2.3400000000000001E-11</v>
      </c>
      <c r="N5" s="433">
        <v>4</v>
      </c>
    </row>
    <row r="6" spans="1:14">
      <c r="A6" s="434" t="s">
        <v>767</v>
      </c>
      <c r="B6" s="431" t="s">
        <v>765</v>
      </c>
      <c r="C6" s="431" t="s">
        <v>766</v>
      </c>
      <c r="D6" s="431">
        <v>363</v>
      </c>
      <c r="E6" s="432">
        <v>2.11E-8</v>
      </c>
      <c r="F6" s="433">
        <v>85</v>
      </c>
      <c r="G6" s="432">
        <v>2.73E-8</v>
      </c>
      <c r="H6" s="458">
        <v>30</v>
      </c>
      <c r="I6" s="432">
        <v>4.6800000000000004E-10</v>
      </c>
      <c r="J6" s="433">
        <v>68</v>
      </c>
      <c r="K6" s="435">
        <v>9.5500000000000006E-11</v>
      </c>
      <c r="L6" s="433">
        <v>15</v>
      </c>
      <c r="M6" s="435">
        <v>3.1100000000000001E-11</v>
      </c>
      <c r="N6" s="433">
        <v>6</v>
      </c>
    </row>
    <row r="7" spans="1:14">
      <c r="A7" s="412" t="s">
        <v>747</v>
      </c>
      <c r="B7" s="436" t="s">
        <v>768</v>
      </c>
      <c r="C7" s="436" t="s">
        <v>769</v>
      </c>
      <c r="D7" s="436">
        <v>3</v>
      </c>
      <c r="E7" s="437">
        <v>6.5799999999999994E-8</v>
      </c>
      <c r="F7" s="438">
        <v>264</v>
      </c>
      <c r="G7" s="436">
        <v>2.4299999999999999E-7</v>
      </c>
      <c r="H7" s="459">
        <v>265</v>
      </c>
      <c r="I7" s="437">
        <v>1.8899999999999999E-9</v>
      </c>
      <c r="J7" s="438">
        <v>277</v>
      </c>
      <c r="K7" s="439">
        <v>1.74E-9</v>
      </c>
      <c r="L7" s="438">
        <v>282</v>
      </c>
      <c r="M7" s="439">
        <v>1.2799999999999999E-9</v>
      </c>
      <c r="N7" s="438">
        <v>234</v>
      </c>
    </row>
    <row r="8" spans="1:14">
      <c r="A8" s="143" t="s">
        <v>770</v>
      </c>
      <c r="B8" s="144"/>
      <c r="C8" s="144"/>
      <c r="D8" s="144"/>
      <c r="E8" s="144"/>
      <c r="F8" s="144"/>
      <c r="G8" s="144"/>
      <c r="H8" s="460" t="s">
        <v>771</v>
      </c>
      <c r="I8" s="144"/>
      <c r="J8" s="144"/>
      <c r="K8" s="144"/>
      <c r="L8" s="144"/>
      <c r="M8" s="144"/>
      <c r="N8" s="145"/>
    </row>
    <row r="9" spans="1:14">
      <c r="A9" s="434" t="s">
        <v>740</v>
      </c>
      <c r="B9" s="431" t="s">
        <v>772</v>
      </c>
      <c r="C9" s="431" t="s">
        <v>773</v>
      </c>
      <c r="D9" s="431">
        <v>26</v>
      </c>
      <c r="E9" s="431">
        <v>1.72E-6</v>
      </c>
      <c r="F9" s="433">
        <v>6900</v>
      </c>
      <c r="G9" s="431">
        <v>4.2799999999999997E-6</v>
      </c>
      <c r="H9" s="458">
        <v>4660</v>
      </c>
      <c r="I9" s="432">
        <v>4.7099999999999998E-8</v>
      </c>
      <c r="J9" s="433">
        <v>6890</v>
      </c>
      <c r="K9" s="435">
        <v>3.0099999999999998E-8</v>
      </c>
      <c r="L9" s="433">
        <v>4890</v>
      </c>
      <c r="M9" s="435">
        <v>1.28E-8</v>
      </c>
      <c r="N9" s="433">
        <v>2340</v>
      </c>
    </row>
    <row r="10" spans="1:14">
      <c r="A10" s="434" t="s">
        <v>741</v>
      </c>
      <c r="B10" s="431" t="s">
        <v>774</v>
      </c>
      <c r="C10" s="431" t="s">
        <v>775</v>
      </c>
      <c r="D10" s="431">
        <v>32</v>
      </c>
      <c r="E10" s="431">
        <v>2.6900000000000001E-6</v>
      </c>
      <c r="F10" s="433">
        <v>108</v>
      </c>
      <c r="G10" s="431">
        <v>9.3899999999999999E-6</v>
      </c>
      <c r="H10" s="458">
        <v>10200</v>
      </c>
      <c r="I10" s="432">
        <v>7.7099999999999996E-8</v>
      </c>
      <c r="J10" s="433">
        <v>113</v>
      </c>
      <c r="K10" s="435">
        <v>6.7500000000000002E-8</v>
      </c>
      <c r="L10" s="433">
        <v>11</v>
      </c>
      <c r="M10" s="435">
        <v>4.6199999999999997E-8</v>
      </c>
      <c r="N10" s="433">
        <v>8450</v>
      </c>
    </row>
    <row r="11" spans="1:14">
      <c r="A11" s="434" t="s">
        <v>179</v>
      </c>
      <c r="B11" s="431" t="s">
        <v>776</v>
      </c>
      <c r="C11" s="431" t="s">
        <v>777</v>
      </c>
      <c r="D11" s="431">
        <v>25</v>
      </c>
      <c r="E11" s="431">
        <v>2.7099999999999999E-6</v>
      </c>
      <c r="F11" s="433">
        <v>109</v>
      </c>
      <c r="G11" s="431">
        <v>1.27E-5</v>
      </c>
      <c r="H11" s="458">
        <v>13900</v>
      </c>
      <c r="I11" s="432">
        <v>7.9899999999999994E-8</v>
      </c>
      <c r="J11" s="433">
        <v>117</v>
      </c>
      <c r="K11" s="435">
        <v>8.7699999999999998E-8</v>
      </c>
      <c r="L11" s="433">
        <v>14.2</v>
      </c>
      <c r="M11" s="435">
        <v>8.7100000000000006E-8</v>
      </c>
      <c r="N11" s="433">
        <v>15.9</v>
      </c>
    </row>
    <row r="12" spans="1:14">
      <c r="A12" s="434" t="s">
        <v>180</v>
      </c>
      <c r="B12" s="431" t="s">
        <v>778</v>
      </c>
      <c r="C12" s="431" t="s">
        <v>779</v>
      </c>
      <c r="D12" s="431">
        <v>30</v>
      </c>
      <c r="E12" s="431">
        <v>1.6199999999999999E-6</v>
      </c>
      <c r="F12" s="433">
        <v>6490</v>
      </c>
      <c r="G12" s="431">
        <v>5.3399999999999997E-6</v>
      </c>
      <c r="H12" s="458">
        <v>5820</v>
      </c>
      <c r="I12" s="432">
        <v>4.5999999999999998E-9</v>
      </c>
      <c r="J12" s="433">
        <v>6730</v>
      </c>
      <c r="K12" s="435">
        <v>3.8500000000000001E-8</v>
      </c>
      <c r="L12" s="433">
        <v>6250</v>
      </c>
      <c r="M12" s="435">
        <v>2.4500000000000001E-8</v>
      </c>
      <c r="N12" s="433">
        <v>4470</v>
      </c>
    </row>
    <row r="13" spans="1:14">
      <c r="A13" s="434" t="s">
        <v>181</v>
      </c>
      <c r="B13" s="431" t="s">
        <v>780</v>
      </c>
      <c r="C13" s="431" t="s">
        <v>781</v>
      </c>
      <c r="D13" s="431">
        <v>31</v>
      </c>
      <c r="E13" s="431">
        <v>1.9199999999999998E-6</v>
      </c>
      <c r="F13" s="433">
        <v>7710</v>
      </c>
      <c r="G13" s="431">
        <v>7.8800000000000008E-6</v>
      </c>
      <c r="H13" s="458">
        <v>8590</v>
      </c>
      <c r="I13" s="432">
        <v>5.5999999999999997E-9</v>
      </c>
      <c r="J13" s="433">
        <v>8190</v>
      </c>
      <c r="K13" s="435">
        <v>5.5600000000000002E-8</v>
      </c>
      <c r="L13" s="433">
        <v>9020</v>
      </c>
      <c r="M13" s="435">
        <v>4.6800000000000002E-8</v>
      </c>
      <c r="N13" s="433">
        <v>8550</v>
      </c>
    </row>
    <row r="14" spans="1:14">
      <c r="A14" s="412" t="s">
        <v>182</v>
      </c>
      <c r="B14" s="436" t="s">
        <v>782</v>
      </c>
      <c r="C14" s="436" t="s">
        <v>783</v>
      </c>
      <c r="D14" s="436">
        <v>20</v>
      </c>
      <c r="E14" s="436">
        <v>1.46E-6</v>
      </c>
      <c r="F14" s="438">
        <v>5860</v>
      </c>
      <c r="G14" s="436">
        <v>7.0299999999999996E-6</v>
      </c>
      <c r="H14" s="459">
        <v>7670</v>
      </c>
      <c r="I14" s="437">
        <v>4.3200000000000003E-8</v>
      </c>
      <c r="J14" s="438">
        <v>6310</v>
      </c>
      <c r="K14" s="439">
        <v>4.8100000000000001E-8</v>
      </c>
      <c r="L14" s="438">
        <v>7810</v>
      </c>
      <c r="M14" s="439">
        <v>4.9100000000000003E-8</v>
      </c>
      <c r="N14" s="438">
        <v>8980</v>
      </c>
    </row>
    <row r="15" spans="1:14">
      <c r="A15" s="143" t="s">
        <v>784</v>
      </c>
      <c r="B15" s="440"/>
      <c r="C15" s="440" t="s">
        <v>785</v>
      </c>
      <c r="D15" s="440" t="s">
        <v>785</v>
      </c>
      <c r="E15" s="440" t="s">
        <v>785</v>
      </c>
      <c r="F15" s="440"/>
      <c r="G15" s="440"/>
      <c r="H15" s="461" t="s">
        <v>771</v>
      </c>
      <c r="I15" s="440"/>
      <c r="J15" s="440"/>
      <c r="K15" s="440"/>
      <c r="L15" s="440"/>
      <c r="M15" s="440"/>
      <c r="N15" s="441"/>
    </row>
    <row r="16" spans="1:14">
      <c r="A16" s="434" t="s">
        <v>193</v>
      </c>
      <c r="B16" s="431" t="s">
        <v>786</v>
      </c>
      <c r="C16" s="431" t="s">
        <v>787</v>
      </c>
      <c r="D16" s="431">
        <v>15</v>
      </c>
      <c r="E16" s="431">
        <v>1.35E-7</v>
      </c>
      <c r="F16" s="433">
        <v>543</v>
      </c>
      <c r="G16" s="431">
        <v>1.35E-7</v>
      </c>
      <c r="H16" s="458">
        <v>148</v>
      </c>
      <c r="I16" s="432">
        <v>1.31E-9</v>
      </c>
      <c r="J16" s="433">
        <v>192</v>
      </c>
      <c r="K16" s="435">
        <v>1.5899999999999999E-10</v>
      </c>
      <c r="L16" s="433">
        <v>26</v>
      </c>
      <c r="M16" s="435">
        <v>1.12E-10</v>
      </c>
      <c r="N16" s="433">
        <v>20</v>
      </c>
    </row>
    <row r="17" spans="1:14">
      <c r="A17" s="434" t="s">
        <v>738</v>
      </c>
      <c r="B17" s="431" t="s">
        <v>788</v>
      </c>
      <c r="C17" s="431" t="s">
        <v>789</v>
      </c>
      <c r="D17" s="431">
        <v>21</v>
      </c>
      <c r="E17" s="431">
        <v>1.3200000000000001E-6</v>
      </c>
      <c r="F17" s="433">
        <v>5280</v>
      </c>
      <c r="G17" s="431">
        <v>1.6199999999999999E-6</v>
      </c>
      <c r="H17" s="458">
        <v>1760</v>
      </c>
      <c r="I17" s="432">
        <v>2.8699999999999999E-8</v>
      </c>
      <c r="J17" s="433">
        <v>4200</v>
      </c>
      <c r="K17" s="435">
        <v>5.1300000000000003E-9</v>
      </c>
      <c r="L17" s="433">
        <v>832</v>
      </c>
      <c r="M17" s="435">
        <v>1.43E-9</v>
      </c>
      <c r="N17" s="433">
        <v>262</v>
      </c>
    </row>
    <row r="18" spans="1:14">
      <c r="A18" s="434" t="s">
        <v>790</v>
      </c>
      <c r="B18" s="431" t="s">
        <v>791</v>
      </c>
      <c r="C18" s="431" t="s">
        <v>792</v>
      </c>
      <c r="D18" s="431">
        <v>17</v>
      </c>
      <c r="E18" s="432">
        <v>5.4300000000000003E-8</v>
      </c>
      <c r="F18" s="433">
        <v>218</v>
      </c>
      <c r="G18" s="432">
        <v>5.4300000000000003E-8</v>
      </c>
      <c r="H18" s="458">
        <v>59</v>
      </c>
      <c r="I18" s="432">
        <v>4.8099999999999999E-10</v>
      </c>
      <c r="J18" s="433">
        <v>70</v>
      </c>
      <c r="K18" s="435">
        <v>6.2500000000000004E-11</v>
      </c>
      <c r="L18" s="433">
        <v>10</v>
      </c>
      <c r="M18" s="435">
        <v>4.4699999999999998E-11</v>
      </c>
      <c r="N18" s="433">
        <v>8</v>
      </c>
    </row>
    <row r="19" spans="1:14">
      <c r="A19" s="434" t="s">
        <v>793</v>
      </c>
      <c r="B19" s="431" t="s">
        <v>794</v>
      </c>
      <c r="C19" s="431" t="s">
        <v>795</v>
      </c>
      <c r="D19" s="431">
        <v>21</v>
      </c>
      <c r="E19" s="431">
        <v>2.36E-7</v>
      </c>
      <c r="F19" s="433">
        <v>945</v>
      </c>
      <c r="G19" s="431">
        <v>2.3699999999999999E-7</v>
      </c>
      <c r="H19" s="458">
        <v>258</v>
      </c>
      <c r="I19" s="432">
        <v>2.9100000000000001E-9</v>
      </c>
      <c r="J19" s="433">
        <v>426</v>
      </c>
      <c r="K19" s="435">
        <v>2.99E-10</v>
      </c>
      <c r="L19" s="433">
        <v>48</v>
      </c>
      <c r="M19" s="435">
        <v>1.96E-10</v>
      </c>
      <c r="N19" s="433">
        <v>36</v>
      </c>
    </row>
    <row r="20" spans="1:14">
      <c r="A20" s="434" t="s">
        <v>187</v>
      </c>
      <c r="B20" s="431" t="s">
        <v>796</v>
      </c>
      <c r="C20" s="431" t="s">
        <v>797</v>
      </c>
      <c r="D20" s="431">
        <v>15</v>
      </c>
      <c r="E20" s="432">
        <v>7.2800000000000003E-8</v>
      </c>
      <c r="F20" s="433">
        <v>292</v>
      </c>
      <c r="G20" s="432">
        <v>7.2800000000000003E-8</v>
      </c>
      <c r="H20" s="458">
        <v>79</v>
      </c>
      <c r="I20" s="432">
        <v>6.7099999999999996E-10</v>
      </c>
      <c r="J20" s="433">
        <v>98</v>
      </c>
      <c r="K20" s="435">
        <v>8.4500000000000005E-11</v>
      </c>
      <c r="L20" s="433">
        <v>14</v>
      </c>
      <c r="M20" s="435">
        <v>5.9999999999999997E-13</v>
      </c>
      <c r="N20" s="433">
        <v>11</v>
      </c>
    </row>
    <row r="21" spans="1:14">
      <c r="A21" s="434" t="s">
        <v>798</v>
      </c>
      <c r="B21" s="431" t="s">
        <v>799</v>
      </c>
      <c r="C21" s="431" t="s">
        <v>800</v>
      </c>
      <c r="D21" s="431">
        <v>23</v>
      </c>
      <c r="E21" s="431">
        <v>3.3700000000000001E-7</v>
      </c>
      <c r="F21" s="433">
        <v>1350</v>
      </c>
      <c r="G21" s="431">
        <v>3.39E-7</v>
      </c>
      <c r="H21" s="458">
        <v>370</v>
      </c>
      <c r="I21" s="432">
        <v>4.5100000000000003E-9</v>
      </c>
      <c r="J21" s="433">
        <v>659</v>
      </c>
      <c r="K21" s="435">
        <v>4.4400000000000002E-10</v>
      </c>
      <c r="L21" s="433">
        <v>72</v>
      </c>
      <c r="M21" s="435">
        <v>2.8100000000000001E-10</v>
      </c>
      <c r="N21" s="433">
        <v>51</v>
      </c>
    </row>
    <row r="22" spans="1:14">
      <c r="A22" s="434" t="s">
        <v>188</v>
      </c>
      <c r="B22" s="431" t="s">
        <v>801</v>
      </c>
      <c r="C22" s="431" t="s">
        <v>802</v>
      </c>
      <c r="D22" s="431">
        <v>20</v>
      </c>
      <c r="E22" s="431">
        <v>4.6699999999999999E-7</v>
      </c>
      <c r="F22" s="433">
        <v>1870</v>
      </c>
      <c r="G22" s="431">
        <v>4.8299999999999997E-7</v>
      </c>
      <c r="H22" s="458">
        <v>527</v>
      </c>
      <c r="I22" s="432">
        <v>7.6299999999999995E-9</v>
      </c>
      <c r="J22" s="433">
        <v>1120</v>
      </c>
      <c r="K22" s="435">
        <v>7.4600000000000001E-10</v>
      </c>
      <c r="L22" s="433">
        <v>121</v>
      </c>
      <c r="M22" s="435">
        <v>4.03E-10</v>
      </c>
      <c r="N22" s="433">
        <v>74</v>
      </c>
    </row>
    <row r="23" spans="1:14">
      <c r="A23" s="434" t="s">
        <v>803</v>
      </c>
      <c r="B23" s="431" t="s">
        <v>804</v>
      </c>
      <c r="C23" s="431" t="s">
        <v>805</v>
      </c>
      <c r="D23" s="431">
        <v>17</v>
      </c>
      <c r="E23" s="431">
        <v>3.0699999999999998E-7</v>
      </c>
      <c r="F23" s="433">
        <v>1230</v>
      </c>
      <c r="G23" s="431">
        <v>3.1E-8</v>
      </c>
      <c r="H23" s="458">
        <v>338</v>
      </c>
      <c r="I23" s="432">
        <v>4.2700000000000004E-9</v>
      </c>
      <c r="J23" s="433">
        <v>624</v>
      </c>
      <c r="K23" s="435">
        <v>4.1400000000000002E-10</v>
      </c>
      <c r="L23" s="433">
        <v>67</v>
      </c>
      <c r="M23" s="435">
        <v>2.5799999999999999E-10</v>
      </c>
      <c r="N23" s="433">
        <v>47</v>
      </c>
    </row>
    <row r="24" spans="1:14">
      <c r="A24" s="434" t="s">
        <v>189</v>
      </c>
      <c r="B24" s="431" t="s">
        <v>806</v>
      </c>
      <c r="C24" s="431" t="s">
        <v>807</v>
      </c>
      <c r="D24" s="431">
        <v>16</v>
      </c>
      <c r="E24" s="431">
        <v>6.3600000000000003E-7</v>
      </c>
      <c r="F24" s="433">
        <v>2550</v>
      </c>
      <c r="G24" s="431">
        <v>7.1699999999999997E-7</v>
      </c>
      <c r="H24" s="458">
        <v>782</v>
      </c>
      <c r="I24" s="432">
        <v>1.27E-8</v>
      </c>
      <c r="J24" s="433">
        <v>1850</v>
      </c>
      <c r="K24" s="435">
        <v>1.67E-9</v>
      </c>
      <c r="L24" s="433">
        <v>271</v>
      </c>
      <c r="M24" s="435">
        <v>6.0899999999999996E-10</v>
      </c>
      <c r="N24" s="433">
        <v>111</v>
      </c>
    </row>
    <row r="25" spans="1:14">
      <c r="A25" s="434" t="s">
        <v>190</v>
      </c>
      <c r="B25" s="431" t="s">
        <v>808</v>
      </c>
      <c r="C25" s="431" t="s">
        <v>809</v>
      </c>
      <c r="D25" s="431">
        <v>19</v>
      </c>
      <c r="E25" s="431">
        <v>1.2500000000000001E-6</v>
      </c>
      <c r="F25" s="433">
        <v>5020</v>
      </c>
      <c r="G25" s="431">
        <v>1.8199999999999999E-6</v>
      </c>
      <c r="H25" s="458">
        <v>1980</v>
      </c>
      <c r="I25" s="432">
        <v>3.0099999999999998E-8</v>
      </c>
      <c r="J25" s="433">
        <v>4390</v>
      </c>
      <c r="K25" s="435">
        <v>8.4599999999999993E-9</v>
      </c>
      <c r="L25" s="433">
        <v>1370</v>
      </c>
      <c r="M25" s="435">
        <v>1.9500000000000001E-9</v>
      </c>
      <c r="N25" s="433">
        <v>356</v>
      </c>
    </row>
    <row r="26" spans="1:14">
      <c r="A26" s="434" t="s">
        <v>191</v>
      </c>
      <c r="B26" s="431" t="s">
        <v>810</v>
      </c>
      <c r="C26" s="431" t="s">
        <v>811</v>
      </c>
      <c r="D26" s="431">
        <v>22</v>
      </c>
      <c r="E26" s="431">
        <v>1.17E-7</v>
      </c>
      <c r="F26" s="433">
        <v>469</v>
      </c>
      <c r="G26" s="431">
        <v>1.17E-7</v>
      </c>
      <c r="H26" s="458">
        <v>127</v>
      </c>
      <c r="I26" s="432">
        <v>1.1700000000000001E-9</v>
      </c>
      <c r="J26" s="433">
        <v>170</v>
      </c>
      <c r="K26" s="435">
        <v>1.3799999999999999E-10</v>
      </c>
      <c r="L26" s="433">
        <v>22</v>
      </c>
      <c r="M26" s="435">
        <v>9.6500000000000003E-11</v>
      </c>
      <c r="N26" s="433">
        <v>18</v>
      </c>
    </row>
    <row r="27" spans="1:14">
      <c r="A27" s="434" t="s">
        <v>192</v>
      </c>
      <c r="B27" s="431" t="s">
        <v>812</v>
      </c>
      <c r="C27" s="431" t="s">
        <v>802</v>
      </c>
      <c r="D27" s="431">
        <v>29</v>
      </c>
      <c r="E27" s="431">
        <v>4.6499999999999999E-7</v>
      </c>
      <c r="F27" s="433">
        <v>1860</v>
      </c>
      <c r="G27" s="431">
        <v>4.8100000000000003E-7</v>
      </c>
      <c r="H27" s="458">
        <v>525</v>
      </c>
      <c r="I27" s="432">
        <v>7.61E-9</v>
      </c>
      <c r="J27" s="433">
        <v>1110</v>
      </c>
      <c r="K27" s="435">
        <v>7.4300000000000002E-10</v>
      </c>
      <c r="L27" s="433">
        <v>120</v>
      </c>
      <c r="M27" s="435">
        <v>4.0100000000000001E-10</v>
      </c>
      <c r="N27" s="433">
        <v>73</v>
      </c>
    </row>
    <row r="28" spans="1:14">
      <c r="A28" s="412" t="s">
        <v>813</v>
      </c>
      <c r="B28" s="436" t="s">
        <v>814</v>
      </c>
      <c r="C28" s="436" t="s">
        <v>815</v>
      </c>
      <c r="D28" s="436">
        <v>4</v>
      </c>
      <c r="E28" s="437">
        <v>1.37E-9</v>
      </c>
      <c r="F28" s="438">
        <v>5</v>
      </c>
      <c r="G28" s="437">
        <v>1.37E-9</v>
      </c>
      <c r="H28" s="459">
        <v>1</v>
      </c>
      <c r="I28" s="437">
        <v>1.0899999999999999E-11</v>
      </c>
      <c r="J28" s="438">
        <v>2</v>
      </c>
      <c r="K28" s="438">
        <v>150</v>
      </c>
      <c r="L28" s="438" t="s">
        <v>816</v>
      </c>
      <c r="M28" s="438">
        <v>110</v>
      </c>
      <c r="N28" s="438" t="s">
        <v>816</v>
      </c>
    </row>
    <row r="29" spans="1:14">
      <c r="A29" s="143" t="s">
        <v>817</v>
      </c>
      <c r="B29" s="144"/>
      <c r="C29" s="144"/>
      <c r="D29" s="144"/>
      <c r="E29" s="144"/>
      <c r="F29" s="144"/>
      <c r="G29" s="144"/>
      <c r="H29" s="460" t="s">
        <v>771</v>
      </c>
      <c r="I29" s="144"/>
      <c r="J29" s="144"/>
      <c r="K29" s="144"/>
      <c r="L29" s="144"/>
      <c r="M29" s="144"/>
      <c r="N29" s="145"/>
    </row>
    <row r="30" spans="1:14">
      <c r="A30" s="434" t="s">
        <v>174</v>
      </c>
      <c r="B30" s="431" t="s">
        <v>818</v>
      </c>
      <c r="C30" s="431" t="s">
        <v>819</v>
      </c>
      <c r="D30" s="431" t="s">
        <v>820</v>
      </c>
      <c r="E30" s="431">
        <v>2.7000000000000001E-7</v>
      </c>
      <c r="F30" s="433">
        <v>10.8</v>
      </c>
      <c r="G30" s="431">
        <v>1.1399999999999999E-5</v>
      </c>
      <c r="H30" s="458">
        <v>12400</v>
      </c>
      <c r="I30" s="432">
        <v>7.8800000000000004E-8</v>
      </c>
      <c r="J30" s="433">
        <v>11.5</v>
      </c>
      <c r="K30" s="435">
        <v>7.9899999999999994E-8</v>
      </c>
      <c r="L30" s="433">
        <v>13</v>
      </c>
      <c r="M30" s="435">
        <v>6.9499999999999994E-8</v>
      </c>
      <c r="N30" s="433">
        <v>12.7</v>
      </c>
    </row>
    <row r="31" spans="1:14">
      <c r="A31" s="434" t="s">
        <v>144</v>
      </c>
      <c r="B31" s="431" t="s">
        <v>821</v>
      </c>
      <c r="C31" s="431" t="s">
        <v>822</v>
      </c>
      <c r="D31" s="431" t="s">
        <v>823</v>
      </c>
      <c r="E31" s="431">
        <v>6.0699999999999997E-7</v>
      </c>
      <c r="F31" s="433">
        <v>2430</v>
      </c>
      <c r="G31" s="431">
        <v>6.2099999999999996E-7</v>
      </c>
      <c r="H31" s="458">
        <v>677</v>
      </c>
      <c r="I31" s="432">
        <v>9.3200000000000001E-9</v>
      </c>
      <c r="J31" s="433">
        <v>1360</v>
      </c>
      <c r="K31" s="435">
        <v>8.9300000000000002E-10</v>
      </c>
      <c r="L31" s="433">
        <v>145</v>
      </c>
      <c r="M31" s="435">
        <v>5.1699999999999997E-10</v>
      </c>
      <c r="N31" s="433">
        <v>94</v>
      </c>
    </row>
    <row r="32" spans="1:14">
      <c r="A32" s="434" t="s">
        <v>145</v>
      </c>
      <c r="B32" s="431" t="s">
        <v>824</v>
      </c>
      <c r="C32" s="431" t="s">
        <v>825</v>
      </c>
      <c r="D32" s="431" t="s">
        <v>826</v>
      </c>
      <c r="E32" s="431">
        <v>1.0700000000000001E-7</v>
      </c>
      <c r="F32" s="433">
        <v>427</v>
      </c>
      <c r="G32" s="431">
        <v>1.0700000000000001E-7</v>
      </c>
      <c r="H32" s="458">
        <v>116</v>
      </c>
      <c r="I32" s="432">
        <v>1.21E-9</v>
      </c>
      <c r="J32" s="433">
        <v>177</v>
      </c>
      <c r="K32" s="435">
        <v>1.3100000000000001E-10</v>
      </c>
      <c r="L32" s="433">
        <v>21</v>
      </c>
      <c r="M32" s="435">
        <v>8.8200000000000003E-11</v>
      </c>
      <c r="N32" s="433">
        <v>16</v>
      </c>
    </row>
    <row r="33" spans="1:14">
      <c r="A33" s="434" t="s">
        <v>153</v>
      </c>
      <c r="B33" s="431" t="s">
        <v>827</v>
      </c>
      <c r="C33" s="431" t="s">
        <v>828</v>
      </c>
      <c r="D33" s="431" t="s">
        <v>829</v>
      </c>
      <c r="E33" s="431">
        <v>1.5200000000000001E-6</v>
      </c>
      <c r="F33" s="433">
        <v>6090</v>
      </c>
      <c r="G33" s="431">
        <v>2.9100000000000001E-6</v>
      </c>
      <c r="H33" s="458">
        <v>3170</v>
      </c>
      <c r="I33" s="432">
        <v>3.9699999999999998E-8</v>
      </c>
      <c r="J33" s="433">
        <v>5800</v>
      </c>
      <c r="K33" s="435">
        <v>1.8399999999999999E-8</v>
      </c>
      <c r="L33" s="433">
        <v>2980</v>
      </c>
      <c r="M33" s="435">
        <v>5.2899999999999997E-9</v>
      </c>
      <c r="N33" s="433">
        <v>967</v>
      </c>
    </row>
    <row r="34" spans="1:14">
      <c r="A34" s="434" t="s">
        <v>164</v>
      </c>
      <c r="B34" s="431" t="s">
        <v>830</v>
      </c>
      <c r="C34" s="431" t="s">
        <v>831</v>
      </c>
      <c r="D34" s="431" t="s">
        <v>832</v>
      </c>
      <c r="E34" s="431">
        <v>8.9299999999999996E-7</v>
      </c>
      <c r="F34" s="433">
        <v>3580</v>
      </c>
      <c r="G34" s="431">
        <v>1.02E-6</v>
      </c>
      <c r="H34" s="458">
        <v>1120</v>
      </c>
      <c r="I34" s="432">
        <v>1.8200000000000001E-8</v>
      </c>
      <c r="J34" s="433">
        <v>2660</v>
      </c>
      <c r="K34" s="435">
        <v>2.5399999999999999E-9</v>
      </c>
      <c r="L34" s="433">
        <v>412</v>
      </c>
      <c r="M34" s="435">
        <v>8.7299999999999998E-10</v>
      </c>
      <c r="N34" s="433">
        <v>160</v>
      </c>
    </row>
    <row r="35" spans="1:14">
      <c r="A35" s="434" t="s">
        <v>169</v>
      </c>
      <c r="B35" s="431" t="s">
        <v>833</v>
      </c>
      <c r="C35" s="431" t="s">
        <v>834</v>
      </c>
      <c r="D35" s="431" t="s">
        <v>835</v>
      </c>
      <c r="E35" s="431">
        <v>9.2600000000000001E-7</v>
      </c>
      <c r="F35" s="433">
        <v>3710</v>
      </c>
      <c r="G35" s="431">
        <v>1.19E-6</v>
      </c>
      <c r="H35" s="458">
        <v>1300</v>
      </c>
      <c r="I35" s="432">
        <v>2.0899999999999999E-8</v>
      </c>
      <c r="J35" s="433">
        <v>3050</v>
      </c>
      <c r="K35" s="435">
        <v>4.3299999999999997E-9</v>
      </c>
      <c r="L35" s="433">
        <v>703</v>
      </c>
      <c r="M35" s="435">
        <v>1.0999999999999999E-10</v>
      </c>
      <c r="N35" s="433">
        <v>201</v>
      </c>
    </row>
    <row r="36" spans="1:14">
      <c r="A36" s="434" t="s">
        <v>170</v>
      </c>
      <c r="B36" s="431" t="s">
        <v>836</v>
      </c>
      <c r="C36" s="431" t="s">
        <v>837</v>
      </c>
      <c r="D36" s="431" t="s">
        <v>838</v>
      </c>
      <c r="E36" s="431">
        <v>3E-9</v>
      </c>
      <c r="F36" s="433">
        <v>1200</v>
      </c>
      <c r="G36" s="431">
        <v>3.0100000000000001E-7</v>
      </c>
      <c r="H36" s="458">
        <v>328</v>
      </c>
      <c r="I36" s="432">
        <v>3.7600000000000003E-9</v>
      </c>
      <c r="J36" s="433">
        <v>549</v>
      </c>
      <c r="K36" s="435">
        <v>3.8200000000000003E-10</v>
      </c>
      <c r="L36" s="433">
        <v>62</v>
      </c>
      <c r="M36" s="435">
        <v>2.4900000000000002E-10</v>
      </c>
      <c r="N36" s="433">
        <v>46</v>
      </c>
    </row>
    <row r="37" spans="1:14">
      <c r="A37" s="434" t="s">
        <v>171</v>
      </c>
      <c r="B37" s="431" t="s">
        <v>839</v>
      </c>
      <c r="C37" s="431" t="s">
        <v>840</v>
      </c>
      <c r="D37" s="431" t="s">
        <v>835</v>
      </c>
      <c r="E37" s="431">
        <v>1.73E-6</v>
      </c>
      <c r="F37" s="433">
        <v>6940</v>
      </c>
      <c r="G37" s="431">
        <v>4.4100000000000001E-6</v>
      </c>
      <c r="H37" s="458">
        <v>4800</v>
      </c>
      <c r="I37" s="432">
        <v>4.7600000000000003E-8</v>
      </c>
      <c r="J37" s="433">
        <v>6960</v>
      </c>
      <c r="K37" s="435">
        <v>3.1200000000000001E-8</v>
      </c>
      <c r="L37" s="433">
        <v>5060</v>
      </c>
      <c r="M37" s="435">
        <v>1.37E-8</v>
      </c>
      <c r="N37" s="433">
        <v>2500</v>
      </c>
    </row>
    <row r="38" spans="1:14">
      <c r="A38" s="434" t="s">
        <v>841</v>
      </c>
      <c r="B38" s="431" t="s">
        <v>842</v>
      </c>
      <c r="C38" s="431" t="s">
        <v>843</v>
      </c>
      <c r="D38" s="431" t="s">
        <v>844</v>
      </c>
      <c r="E38" s="432">
        <v>1.51E-8</v>
      </c>
      <c r="F38" s="433">
        <v>60</v>
      </c>
      <c r="G38" s="432">
        <v>1.51E-8</v>
      </c>
      <c r="H38" s="458">
        <v>16</v>
      </c>
      <c r="I38" s="432">
        <v>1.2500000000000001E-10</v>
      </c>
      <c r="J38" s="433">
        <v>18</v>
      </c>
      <c r="K38" s="435">
        <v>1.7100000000000001E-11</v>
      </c>
      <c r="L38" s="433">
        <v>3</v>
      </c>
      <c r="M38" s="435">
        <v>1.24E-11</v>
      </c>
      <c r="N38" s="433">
        <v>2</v>
      </c>
    </row>
    <row r="39" spans="1:14">
      <c r="A39" s="434" t="s">
        <v>172</v>
      </c>
      <c r="B39" s="431" t="s">
        <v>845</v>
      </c>
      <c r="C39" s="431" t="s">
        <v>846</v>
      </c>
      <c r="D39" s="431" t="s">
        <v>847</v>
      </c>
      <c r="E39" s="431">
        <v>1.2599999999999999E-7</v>
      </c>
      <c r="F39" s="433">
        <v>506</v>
      </c>
      <c r="G39" s="431">
        <v>1.2599999999999999E-7</v>
      </c>
      <c r="H39" s="458">
        <v>138</v>
      </c>
      <c r="I39" s="432">
        <v>1.19E-9</v>
      </c>
      <c r="J39" s="433">
        <v>174</v>
      </c>
      <c r="K39" s="435">
        <v>1.4700000000000001E-10</v>
      </c>
      <c r="L39" s="433">
        <v>24</v>
      </c>
      <c r="M39" s="435">
        <v>1.04E-10</v>
      </c>
      <c r="N39" s="433">
        <v>19</v>
      </c>
    </row>
    <row r="40" spans="1:14">
      <c r="A40" s="434" t="s">
        <v>848</v>
      </c>
      <c r="B40" s="431" t="s">
        <v>849</v>
      </c>
      <c r="C40" s="431" t="s">
        <v>850</v>
      </c>
      <c r="D40" s="431" t="s">
        <v>826</v>
      </c>
      <c r="E40" s="432">
        <v>3.3299999999999999E-9</v>
      </c>
      <c r="F40" s="433">
        <v>13</v>
      </c>
      <c r="G40" s="432">
        <v>3.3299999999999999E-9</v>
      </c>
      <c r="H40" s="458">
        <v>4</v>
      </c>
      <c r="I40" s="432">
        <v>2.6999999999999998E-12</v>
      </c>
      <c r="J40" s="433">
        <v>4</v>
      </c>
      <c r="K40" s="433">
        <v>370</v>
      </c>
      <c r="L40" s="433" t="s">
        <v>816</v>
      </c>
      <c r="M40" s="433">
        <v>270</v>
      </c>
      <c r="N40" s="433" t="s">
        <v>816</v>
      </c>
    </row>
    <row r="41" spans="1:14">
      <c r="A41" s="434" t="s">
        <v>851</v>
      </c>
      <c r="B41" s="431" t="s">
        <v>852</v>
      </c>
      <c r="C41" s="431" t="s">
        <v>828</v>
      </c>
      <c r="D41" s="431" t="s">
        <v>853</v>
      </c>
      <c r="E41" s="431">
        <v>1.2699999999999999E-6</v>
      </c>
      <c r="F41" s="433">
        <v>5080</v>
      </c>
      <c r="G41" s="431">
        <v>2.4200000000000001E-6</v>
      </c>
      <c r="H41" s="458">
        <v>2640</v>
      </c>
      <c r="I41" s="432">
        <v>3.3099999999999999E-8</v>
      </c>
      <c r="J41" s="433">
        <v>4830</v>
      </c>
      <c r="K41" s="435">
        <v>1.5300000000000001E-8</v>
      </c>
      <c r="L41" s="433">
        <v>2480</v>
      </c>
      <c r="M41" s="435">
        <v>4.4100000000000003E-9</v>
      </c>
      <c r="N41" s="433">
        <v>806</v>
      </c>
    </row>
    <row r="42" spans="1:14">
      <c r="A42" s="434" t="s">
        <v>173</v>
      </c>
      <c r="B42" s="431" t="s">
        <v>854</v>
      </c>
      <c r="C42" s="431" t="s">
        <v>855</v>
      </c>
      <c r="D42" s="431" t="s">
        <v>856</v>
      </c>
      <c r="E42" s="431">
        <v>1.3400000000000001E-6</v>
      </c>
      <c r="F42" s="433">
        <v>5360</v>
      </c>
      <c r="G42" s="431">
        <v>3.0699999999999998E-6</v>
      </c>
      <c r="H42" s="458">
        <v>3350</v>
      </c>
      <c r="I42" s="432">
        <v>3.6099999999999999E-8</v>
      </c>
      <c r="J42" s="433">
        <v>5280</v>
      </c>
      <c r="K42" s="435">
        <v>2.1200000000000001E-8</v>
      </c>
      <c r="L42" s="433">
        <v>3440</v>
      </c>
      <c r="M42" s="435">
        <v>7.9799999999999993E-9</v>
      </c>
      <c r="N42" s="433">
        <v>1460</v>
      </c>
    </row>
    <row r="43" spans="1:14">
      <c r="A43" s="434" t="s">
        <v>857</v>
      </c>
      <c r="B43" s="431" t="s">
        <v>858</v>
      </c>
      <c r="C43" s="431" t="s">
        <v>859</v>
      </c>
      <c r="D43" s="431" t="s">
        <v>829</v>
      </c>
      <c r="E43" s="431">
        <v>8.6700000000000002E-7</v>
      </c>
      <c r="F43" s="433">
        <v>3480</v>
      </c>
      <c r="G43" s="431">
        <v>1.11E-6</v>
      </c>
      <c r="H43" s="458">
        <v>1210</v>
      </c>
      <c r="I43" s="432">
        <v>1.9399999999999998E-8</v>
      </c>
      <c r="J43" s="433">
        <v>2840</v>
      </c>
      <c r="K43" s="435">
        <v>3.9199999999999997E-9</v>
      </c>
      <c r="L43" s="433">
        <v>636</v>
      </c>
      <c r="M43" s="435">
        <v>1.01E-9</v>
      </c>
      <c r="N43" s="433">
        <v>185</v>
      </c>
    </row>
    <row r="44" spans="1:14">
      <c r="A44" s="434" t="s">
        <v>860</v>
      </c>
      <c r="B44" s="431" t="s">
        <v>861</v>
      </c>
      <c r="C44" s="431" t="s">
        <v>862</v>
      </c>
      <c r="D44" s="431" t="s">
        <v>863</v>
      </c>
      <c r="E44" s="431">
        <v>1.0300000000000001E-6</v>
      </c>
      <c r="F44" s="433">
        <v>4110</v>
      </c>
      <c r="G44" s="431">
        <v>1.22E-6</v>
      </c>
      <c r="H44" s="458">
        <v>1330</v>
      </c>
      <c r="I44" s="432">
        <v>2.18E-8</v>
      </c>
      <c r="J44" s="433">
        <v>3190</v>
      </c>
      <c r="K44" s="435">
        <v>3.53E-9</v>
      </c>
      <c r="L44" s="433">
        <v>573</v>
      </c>
      <c r="M44" s="435">
        <v>1.0600000000000001E-9</v>
      </c>
      <c r="N44" s="433">
        <v>195</v>
      </c>
    </row>
    <row r="45" spans="1:14">
      <c r="A45" s="434" t="s">
        <v>175</v>
      </c>
      <c r="B45" s="431" t="s">
        <v>864</v>
      </c>
      <c r="C45" s="431" t="s">
        <v>865</v>
      </c>
      <c r="D45" s="431" t="s">
        <v>866</v>
      </c>
      <c r="E45" s="431">
        <v>1.73E-6</v>
      </c>
      <c r="F45" s="433">
        <v>6940</v>
      </c>
      <c r="G45" s="431">
        <v>7.3900000000000004E-6</v>
      </c>
      <c r="H45" s="458">
        <v>8060</v>
      </c>
      <c r="I45" s="432">
        <v>5.0600000000000003E-8</v>
      </c>
      <c r="J45" s="433">
        <v>7400</v>
      </c>
      <c r="K45" s="435">
        <v>5.1800000000000001E-8</v>
      </c>
      <c r="L45" s="433">
        <v>8400</v>
      </c>
      <c r="M45" s="435">
        <v>4.58E-8</v>
      </c>
      <c r="N45" s="433">
        <v>8380</v>
      </c>
    </row>
    <row r="46" spans="1:14">
      <c r="A46" s="434" t="s">
        <v>867</v>
      </c>
      <c r="B46" s="431" t="s">
        <v>868</v>
      </c>
      <c r="C46" s="431" t="s">
        <v>869</v>
      </c>
      <c r="D46" s="431" t="s">
        <v>870</v>
      </c>
      <c r="E46" s="431">
        <v>6.2600000000000002E-7</v>
      </c>
      <c r="F46" s="433">
        <v>2510</v>
      </c>
      <c r="G46" s="431">
        <v>6.5600000000000005E-7</v>
      </c>
      <c r="H46" s="458">
        <v>716</v>
      </c>
      <c r="I46" s="432">
        <v>1.07E-8</v>
      </c>
      <c r="J46" s="433">
        <v>1570</v>
      </c>
      <c r="K46" s="435">
        <v>1.09E-9</v>
      </c>
      <c r="L46" s="433">
        <v>176</v>
      </c>
      <c r="M46" s="435">
        <v>5.4899999999999997E-10</v>
      </c>
      <c r="N46" s="433">
        <v>100</v>
      </c>
    </row>
    <row r="47" spans="1:14">
      <c r="A47" s="434" t="s">
        <v>871</v>
      </c>
      <c r="B47" s="431" t="s">
        <v>872</v>
      </c>
      <c r="C47" s="431" t="s">
        <v>840</v>
      </c>
      <c r="D47" s="431" t="s">
        <v>866</v>
      </c>
      <c r="E47" s="431">
        <v>1.6700000000000001E-6</v>
      </c>
      <c r="F47" s="433">
        <v>6680</v>
      </c>
      <c r="G47" s="431">
        <v>4.2400000000000001E-6</v>
      </c>
      <c r="H47" s="458">
        <v>4620</v>
      </c>
      <c r="I47" s="432">
        <v>4.58E-8</v>
      </c>
      <c r="J47" s="433">
        <v>6690</v>
      </c>
      <c r="K47" s="435">
        <v>3E-10</v>
      </c>
      <c r="L47" s="433">
        <v>4870</v>
      </c>
      <c r="M47" s="435">
        <v>1.3200000000000001E-8</v>
      </c>
      <c r="N47" s="433">
        <v>2410</v>
      </c>
    </row>
    <row r="48" spans="1:14">
      <c r="A48" s="434" t="s">
        <v>873</v>
      </c>
      <c r="B48" s="431" t="s">
        <v>874</v>
      </c>
      <c r="C48" s="431" t="s">
        <v>875</v>
      </c>
      <c r="D48" s="431" t="s">
        <v>876</v>
      </c>
      <c r="E48" s="431">
        <v>2.1500000000000001E-7</v>
      </c>
      <c r="F48" s="433">
        <v>863</v>
      </c>
      <c r="G48" s="431">
        <v>2.16E-7</v>
      </c>
      <c r="H48" s="458">
        <v>235</v>
      </c>
      <c r="I48" s="432">
        <v>2.5899999999999999E-9</v>
      </c>
      <c r="J48" s="433">
        <v>378</v>
      </c>
      <c r="K48" s="435">
        <v>2.7E-11</v>
      </c>
      <c r="L48" s="433">
        <v>44</v>
      </c>
      <c r="M48" s="435">
        <v>1.79E-10</v>
      </c>
      <c r="N48" s="433">
        <v>33</v>
      </c>
    </row>
    <row r="49" spans="1:14">
      <c r="A49" s="434" t="s">
        <v>877</v>
      </c>
      <c r="B49" s="431" t="s">
        <v>878</v>
      </c>
      <c r="C49" s="431" t="s">
        <v>879</v>
      </c>
      <c r="D49" s="431" t="s">
        <v>880</v>
      </c>
      <c r="E49" s="431">
        <v>2.6600000000000003E-7</v>
      </c>
      <c r="F49" s="433">
        <v>1070</v>
      </c>
      <c r="G49" s="431">
        <v>2.6600000000000003E-7</v>
      </c>
      <c r="H49" s="458">
        <v>290</v>
      </c>
      <c r="I49" s="432">
        <v>3.1500000000000001E-9</v>
      </c>
      <c r="J49" s="433">
        <v>460</v>
      </c>
      <c r="K49" s="435">
        <v>3.3099999999999999E-10</v>
      </c>
      <c r="L49" s="433">
        <v>54</v>
      </c>
      <c r="M49" s="435">
        <v>2.2000000000000002E-11</v>
      </c>
      <c r="N49" s="433">
        <v>40</v>
      </c>
    </row>
    <row r="50" spans="1:14">
      <c r="A50" s="434" t="s">
        <v>143</v>
      </c>
      <c r="B50" s="431" t="s">
        <v>881</v>
      </c>
      <c r="C50" s="431" t="s">
        <v>882</v>
      </c>
      <c r="D50" s="431" t="s">
        <v>866</v>
      </c>
      <c r="E50" s="431">
        <v>7.2900000000000003E-7</v>
      </c>
      <c r="F50" s="433">
        <v>2920</v>
      </c>
      <c r="G50" s="431">
        <v>7.8700000000000005E-7</v>
      </c>
      <c r="H50" s="458">
        <v>858</v>
      </c>
      <c r="I50" s="432">
        <v>1.35E-8</v>
      </c>
      <c r="J50" s="433">
        <v>1970</v>
      </c>
      <c r="K50" s="435">
        <v>1.51E-9</v>
      </c>
      <c r="L50" s="433">
        <v>245</v>
      </c>
      <c r="M50" s="435">
        <v>6.6199999999999999E-10</v>
      </c>
      <c r="N50" s="433">
        <v>121</v>
      </c>
    </row>
    <row r="51" spans="1:14">
      <c r="A51" s="434" t="s">
        <v>883</v>
      </c>
      <c r="B51" s="431" t="s">
        <v>884</v>
      </c>
      <c r="C51" s="431" t="s">
        <v>885</v>
      </c>
      <c r="D51" s="431" t="s">
        <v>886</v>
      </c>
      <c r="E51" s="432">
        <v>6.9300000000000005E-8</v>
      </c>
      <c r="F51" s="433">
        <v>278</v>
      </c>
      <c r="G51" s="432">
        <v>6.9300000000000005E-8</v>
      </c>
      <c r="H51" s="458">
        <v>76</v>
      </c>
      <c r="I51" s="432">
        <v>6.3099999999999999E-10</v>
      </c>
      <c r="J51" s="433">
        <v>92</v>
      </c>
      <c r="K51" s="435">
        <v>8.0200000000000005E-11</v>
      </c>
      <c r="L51" s="433">
        <v>13</v>
      </c>
      <c r="M51" s="435">
        <v>5.7000000000000003E-12</v>
      </c>
      <c r="N51" s="433">
        <v>10</v>
      </c>
    </row>
    <row r="52" spans="1:14">
      <c r="A52" s="434" t="s">
        <v>887</v>
      </c>
      <c r="B52" s="431" t="s">
        <v>888</v>
      </c>
      <c r="C52" s="431" t="s">
        <v>889</v>
      </c>
      <c r="D52" s="431" t="s">
        <v>890</v>
      </c>
      <c r="E52" s="431">
        <v>1.3199999999999999E-7</v>
      </c>
      <c r="F52" s="433">
        <v>530</v>
      </c>
      <c r="G52" s="431">
        <v>1.3199999999999999E-7</v>
      </c>
      <c r="H52" s="458">
        <v>144</v>
      </c>
      <c r="I52" s="432">
        <v>1.4599999999999999E-9</v>
      </c>
      <c r="J52" s="433">
        <v>213</v>
      </c>
      <c r="K52" s="435">
        <v>1.6100000000000001E-10</v>
      </c>
      <c r="L52" s="433">
        <v>26</v>
      </c>
      <c r="M52" s="435">
        <v>1.09E-10</v>
      </c>
      <c r="N52" s="433">
        <v>20</v>
      </c>
    </row>
    <row r="53" spans="1:14">
      <c r="A53" s="434" t="s">
        <v>891</v>
      </c>
      <c r="B53" s="431" t="s">
        <v>892</v>
      </c>
      <c r="C53" s="431" t="s">
        <v>893</v>
      </c>
      <c r="D53" s="431" t="s">
        <v>894</v>
      </c>
      <c r="E53" s="431">
        <v>1.13E-6</v>
      </c>
      <c r="F53" s="433">
        <v>4510</v>
      </c>
      <c r="G53" s="431">
        <v>2.1600000000000001E-6</v>
      </c>
      <c r="H53" s="458">
        <v>2360</v>
      </c>
      <c r="I53" s="432">
        <v>2.9399999999999999E-8</v>
      </c>
      <c r="J53" s="433">
        <v>4290</v>
      </c>
      <c r="K53" s="435">
        <v>1.37E-8</v>
      </c>
      <c r="L53" s="433">
        <v>2220</v>
      </c>
      <c r="M53" s="435">
        <v>3.9600000000000004E-9</v>
      </c>
      <c r="N53" s="433">
        <v>725</v>
      </c>
    </row>
    <row r="54" spans="1:14">
      <c r="A54" s="434" t="s">
        <v>895</v>
      </c>
      <c r="B54" s="431" t="s">
        <v>896</v>
      </c>
      <c r="C54" s="431" t="s">
        <v>897</v>
      </c>
      <c r="D54" s="431" t="s">
        <v>898</v>
      </c>
      <c r="E54" s="431">
        <v>6.6400000000000002E-7</v>
      </c>
      <c r="F54" s="433">
        <v>2660</v>
      </c>
      <c r="G54" s="431">
        <v>7.3799999999999996E-7</v>
      </c>
      <c r="H54" s="458">
        <v>804</v>
      </c>
      <c r="I54" s="432">
        <v>1.3000000000000001E-9</v>
      </c>
      <c r="J54" s="433">
        <v>1890</v>
      </c>
      <c r="K54" s="435">
        <v>1.62E-9</v>
      </c>
      <c r="L54" s="433">
        <v>262</v>
      </c>
      <c r="M54" s="435">
        <v>6.2400000000000002E-10</v>
      </c>
      <c r="N54" s="433">
        <v>114</v>
      </c>
    </row>
    <row r="55" spans="1:14">
      <c r="A55" s="434" t="s">
        <v>724</v>
      </c>
      <c r="B55" s="431" t="s">
        <v>899</v>
      </c>
      <c r="C55" s="431" t="s">
        <v>900</v>
      </c>
      <c r="D55" s="431" t="s">
        <v>901</v>
      </c>
      <c r="E55" s="431">
        <v>1.08E-6</v>
      </c>
      <c r="F55" s="433">
        <v>4310</v>
      </c>
      <c r="G55" s="431">
        <v>1.5099999999999999E-6</v>
      </c>
      <c r="H55" s="458">
        <v>1650</v>
      </c>
      <c r="I55" s="432">
        <v>2.5399999999999999E-8</v>
      </c>
      <c r="J55" s="433">
        <v>3720</v>
      </c>
      <c r="K55" s="435">
        <v>6.6199999999999999E-9</v>
      </c>
      <c r="L55" s="433">
        <v>1070</v>
      </c>
      <c r="M55" s="435">
        <v>1.5400000000000001E-9</v>
      </c>
      <c r="N55" s="433">
        <v>281</v>
      </c>
    </row>
    <row r="56" spans="1:14">
      <c r="A56" s="434" t="s">
        <v>902</v>
      </c>
      <c r="B56" s="431" t="s">
        <v>903</v>
      </c>
      <c r="C56" s="431" t="s">
        <v>904</v>
      </c>
      <c r="D56" s="431" t="s">
        <v>905</v>
      </c>
      <c r="E56" s="432">
        <v>3.8699999999999999E-11</v>
      </c>
      <c r="F56" s="433" t="s">
        <v>816</v>
      </c>
      <c r="G56" s="432">
        <v>3.8699999999999999E-11</v>
      </c>
      <c r="H56" s="458" t="s">
        <v>816</v>
      </c>
      <c r="I56" s="431">
        <v>300</v>
      </c>
      <c r="J56" s="433" t="s">
        <v>816</v>
      </c>
      <c r="K56" s="433">
        <v>512</v>
      </c>
      <c r="L56" s="433" t="s">
        <v>816</v>
      </c>
      <c r="M56" s="433">
        <v>512</v>
      </c>
      <c r="N56" s="433" t="s">
        <v>816</v>
      </c>
    </row>
    <row r="57" spans="1:14">
      <c r="A57" s="434" t="s">
        <v>906</v>
      </c>
      <c r="B57" s="431" t="s">
        <v>907</v>
      </c>
      <c r="C57" s="431" t="s">
        <v>908</v>
      </c>
      <c r="D57" s="431" t="s">
        <v>909</v>
      </c>
      <c r="E57" s="432">
        <v>1.54E-11</v>
      </c>
      <c r="F57" s="433" t="s">
        <v>816</v>
      </c>
      <c r="G57" s="432">
        <v>1.54E-11</v>
      </c>
      <c r="H57" s="458" t="s">
        <v>816</v>
      </c>
      <c r="I57" s="431">
        <v>100</v>
      </c>
      <c r="J57" s="433" t="s">
        <v>816</v>
      </c>
      <c r="K57" s="433">
        <v>512</v>
      </c>
      <c r="L57" s="433" t="s">
        <v>816</v>
      </c>
      <c r="M57" s="433">
        <v>512</v>
      </c>
      <c r="N57" s="433" t="s">
        <v>816</v>
      </c>
    </row>
    <row r="58" spans="1:14">
      <c r="A58" s="434" t="s">
        <v>910</v>
      </c>
      <c r="B58" s="431" t="s">
        <v>911</v>
      </c>
      <c r="C58" s="431" t="s">
        <v>912</v>
      </c>
      <c r="D58" s="431" t="s">
        <v>826</v>
      </c>
      <c r="E58" s="432">
        <v>2.1400000000000001E-10</v>
      </c>
      <c r="F58" s="433" t="s">
        <v>816</v>
      </c>
      <c r="G58" s="432">
        <v>2.1400000000000001E-10</v>
      </c>
      <c r="H58" s="458" t="s">
        <v>816</v>
      </c>
      <c r="I58" s="432">
        <v>1.7000000000000001E-13</v>
      </c>
      <c r="J58" s="433" t="s">
        <v>816</v>
      </c>
      <c r="K58" s="433">
        <v>200</v>
      </c>
      <c r="L58" s="433" t="s">
        <v>816</v>
      </c>
      <c r="M58" s="433">
        <v>100</v>
      </c>
      <c r="N58" s="433" t="s">
        <v>816</v>
      </c>
    </row>
    <row r="59" spans="1:14">
      <c r="A59" s="434" t="s">
        <v>913</v>
      </c>
      <c r="B59" s="431" t="s">
        <v>914</v>
      </c>
      <c r="C59" s="431" t="s">
        <v>915</v>
      </c>
      <c r="D59" s="431" t="s">
        <v>916</v>
      </c>
      <c r="E59" s="432">
        <v>7.2499999999999995E-11</v>
      </c>
      <c r="F59" s="433" t="s">
        <v>816</v>
      </c>
      <c r="G59" s="432">
        <v>7.2499999999999995E-11</v>
      </c>
      <c r="H59" s="458" t="s">
        <v>816</v>
      </c>
      <c r="I59" s="431">
        <v>500</v>
      </c>
      <c r="J59" s="433" t="s">
        <v>816</v>
      </c>
      <c r="K59" s="433">
        <v>512</v>
      </c>
      <c r="L59" s="433" t="s">
        <v>816</v>
      </c>
      <c r="M59" s="433">
        <v>512</v>
      </c>
      <c r="N59" s="433" t="s">
        <v>816</v>
      </c>
    </row>
    <row r="60" spans="1:14">
      <c r="A60" s="434" t="s">
        <v>917</v>
      </c>
      <c r="B60" s="431" t="s">
        <v>918</v>
      </c>
      <c r="C60" s="431" t="s">
        <v>919</v>
      </c>
      <c r="D60" s="431" t="s">
        <v>826</v>
      </c>
      <c r="E60" s="432">
        <v>2.6099999999999998E-10</v>
      </c>
      <c r="F60" s="433">
        <v>1</v>
      </c>
      <c r="G60" s="432">
        <v>2.6099999999999998E-10</v>
      </c>
      <c r="H60" s="458" t="s">
        <v>816</v>
      </c>
      <c r="I60" s="431">
        <v>200</v>
      </c>
      <c r="J60" s="433" t="s">
        <v>816</v>
      </c>
      <c r="K60" s="433">
        <v>200</v>
      </c>
      <c r="L60" s="433" t="s">
        <v>816</v>
      </c>
      <c r="M60" s="433">
        <v>200</v>
      </c>
      <c r="N60" s="433" t="s">
        <v>816</v>
      </c>
    </row>
    <row r="61" spans="1:14">
      <c r="A61" s="434" t="s">
        <v>920</v>
      </c>
      <c r="B61" s="431" t="s">
        <v>921</v>
      </c>
      <c r="C61" s="431" t="s">
        <v>922</v>
      </c>
      <c r="D61" s="431" t="s">
        <v>826</v>
      </c>
      <c r="E61" s="432">
        <v>3.2200000000000003E-10</v>
      </c>
      <c r="F61" s="433">
        <v>1</v>
      </c>
      <c r="G61" s="432">
        <v>3.2200000000000003E-10</v>
      </c>
      <c r="H61" s="458" t="s">
        <v>816</v>
      </c>
      <c r="I61" s="431">
        <v>250</v>
      </c>
      <c r="J61" s="433" t="s">
        <v>816</v>
      </c>
      <c r="K61" s="433">
        <v>300</v>
      </c>
      <c r="L61" s="433" t="s">
        <v>816</v>
      </c>
      <c r="M61" s="433">
        <v>200</v>
      </c>
      <c r="N61" s="433" t="s">
        <v>816</v>
      </c>
    </row>
    <row r="62" spans="1:14">
      <c r="A62" s="434" t="s">
        <v>923</v>
      </c>
      <c r="B62" s="431" t="s">
        <v>924</v>
      </c>
      <c r="C62" s="431" t="s">
        <v>925</v>
      </c>
      <c r="D62" s="431" t="s">
        <v>844</v>
      </c>
      <c r="E62" s="432">
        <v>8.7399999999999998E-10</v>
      </c>
      <c r="F62" s="433">
        <v>4</v>
      </c>
      <c r="G62" s="432">
        <v>8.7399999999999998E-10</v>
      </c>
      <c r="H62" s="458" t="s">
        <v>816</v>
      </c>
      <c r="I62" s="431">
        <v>690</v>
      </c>
      <c r="J62" s="433" t="s">
        <v>816</v>
      </c>
      <c r="K62" s="433">
        <v>900</v>
      </c>
      <c r="L62" s="433" t="s">
        <v>816</v>
      </c>
      <c r="M62" s="433">
        <v>700</v>
      </c>
      <c r="N62" s="433" t="s">
        <v>816</v>
      </c>
    </row>
    <row r="63" spans="1:14">
      <c r="A63" s="434" t="s">
        <v>926</v>
      </c>
      <c r="B63" s="431" t="s">
        <v>927</v>
      </c>
      <c r="C63" s="431" t="s">
        <v>928</v>
      </c>
      <c r="D63" s="431" t="s">
        <v>929</v>
      </c>
      <c r="E63" s="432">
        <v>1.5400000000000001E-9</v>
      </c>
      <c r="F63" s="433">
        <v>6</v>
      </c>
      <c r="G63" s="432">
        <v>1.5400000000000001E-9</v>
      </c>
      <c r="H63" s="458">
        <v>2</v>
      </c>
      <c r="I63" s="432">
        <v>1.23E-11</v>
      </c>
      <c r="J63" s="433">
        <v>2</v>
      </c>
      <c r="K63" s="433">
        <v>170</v>
      </c>
      <c r="L63" s="433" t="s">
        <v>816</v>
      </c>
      <c r="M63" s="433">
        <v>120</v>
      </c>
      <c r="N63" s="433" t="s">
        <v>816</v>
      </c>
    </row>
    <row r="64" spans="1:14">
      <c r="A64" s="434" t="s">
        <v>930</v>
      </c>
      <c r="B64" s="431" t="s">
        <v>931</v>
      </c>
      <c r="C64" s="431" t="s">
        <v>932</v>
      </c>
      <c r="D64" s="431" t="s">
        <v>916</v>
      </c>
      <c r="E64" s="432">
        <v>1.3699999999999999E-10</v>
      </c>
      <c r="F64" s="433">
        <v>1</v>
      </c>
      <c r="G64" s="432">
        <v>1.3699999999999999E-10</v>
      </c>
      <c r="H64" s="458" t="s">
        <v>816</v>
      </c>
      <c r="I64" s="431">
        <v>100</v>
      </c>
      <c r="J64" s="433" t="s">
        <v>816</v>
      </c>
      <c r="K64" s="433">
        <v>100</v>
      </c>
      <c r="L64" s="433" t="s">
        <v>816</v>
      </c>
      <c r="M64" s="433">
        <v>100</v>
      </c>
      <c r="N64" s="433" t="s">
        <v>816</v>
      </c>
    </row>
    <row r="65" spans="1:14">
      <c r="A65" s="434" t="s">
        <v>933</v>
      </c>
      <c r="B65" s="431" t="s">
        <v>934</v>
      </c>
      <c r="C65" s="431" t="s">
        <v>935</v>
      </c>
      <c r="D65" s="431" t="s">
        <v>916</v>
      </c>
      <c r="E65" s="432">
        <v>1.15E-10</v>
      </c>
      <c r="F65" s="433" t="s">
        <v>816</v>
      </c>
      <c r="G65" s="432">
        <v>1.15E-10</v>
      </c>
      <c r="H65" s="458" t="s">
        <v>816</v>
      </c>
      <c r="I65" s="431">
        <v>900</v>
      </c>
      <c r="J65" s="433" t="s">
        <v>816</v>
      </c>
      <c r="K65" s="433">
        <v>100</v>
      </c>
      <c r="L65" s="433" t="s">
        <v>816</v>
      </c>
      <c r="M65" s="433">
        <v>512</v>
      </c>
      <c r="N65" s="433" t="s">
        <v>816</v>
      </c>
    </row>
    <row r="66" spans="1:14">
      <c r="A66" s="434" t="s">
        <v>936</v>
      </c>
      <c r="B66" s="431" t="s">
        <v>937</v>
      </c>
      <c r="C66" s="431" t="s">
        <v>935</v>
      </c>
      <c r="D66" s="431" t="s">
        <v>938</v>
      </c>
      <c r="E66" s="432">
        <v>1.2500000000000001E-10</v>
      </c>
      <c r="F66" s="433" t="s">
        <v>816</v>
      </c>
      <c r="G66" s="432">
        <v>1.2500000000000001E-10</v>
      </c>
      <c r="H66" s="458" t="s">
        <v>816</v>
      </c>
      <c r="I66" s="431">
        <v>900</v>
      </c>
      <c r="J66" s="433" t="s">
        <v>816</v>
      </c>
      <c r="K66" s="433">
        <v>100</v>
      </c>
      <c r="L66" s="433" t="s">
        <v>816</v>
      </c>
      <c r="M66" s="433">
        <v>100</v>
      </c>
      <c r="N66" s="433" t="s">
        <v>816</v>
      </c>
    </row>
    <row r="67" spans="1:14">
      <c r="A67" s="434" t="s">
        <v>939</v>
      </c>
      <c r="B67" s="431" t="s">
        <v>940</v>
      </c>
      <c r="C67" s="431" t="s">
        <v>935</v>
      </c>
      <c r="D67" s="431" t="s">
        <v>938</v>
      </c>
      <c r="E67" s="432">
        <v>9.8900000000000002E-11</v>
      </c>
      <c r="F67" s="433" t="s">
        <v>816</v>
      </c>
      <c r="G67" s="432">
        <v>9.8900000000000002E-11</v>
      </c>
      <c r="H67" s="458" t="s">
        <v>816</v>
      </c>
      <c r="I67" s="431">
        <v>700</v>
      </c>
      <c r="J67" s="433" t="s">
        <v>816</v>
      </c>
      <c r="K67" s="433">
        <v>100</v>
      </c>
      <c r="L67" s="433" t="s">
        <v>816</v>
      </c>
      <c r="M67" s="433">
        <v>512</v>
      </c>
      <c r="N67" s="433" t="s">
        <v>816</v>
      </c>
    </row>
    <row r="68" spans="1:14">
      <c r="A68" s="412" t="s">
        <v>941</v>
      </c>
      <c r="B68" s="436" t="s">
        <v>942</v>
      </c>
      <c r="C68" s="436" t="s">
        <v>935</v>
      </c>
      <c r="D68" s="436" t="s">
        <v>938</v>
      </c>
      <c r="E68" s="437">
        <v>8.52E-11</v>
      </c>
      <c r="F68" s="438" t="s">
        <v>816</v>
      </c>
      <c r="G68" s="437">
        <v>8.52E-11</v>
      </c>
      <c r="H68" s="459" t="s">
        <v>816</v>
      </c>
      <c r="I68" s="436">
        <v>600</v>
      </c>
      <c r="J68" s="438" t="s">
        <v>816</v>
      </c>
      <c r="K68" s="438">
        <v>512</v>
      </c>
      <c r="L68" s="438" t="s">
        <v>816</v>
      </c>
      <c r="M68" s="438">
        <v>512</v>
      </c>
      <c r="N68" s="438" t="s">
        <v>816</v>
      </c>
    </row>
    <row r="69" spans="1:14">
      <c r="A69" s="143" t="s">
        <v>943</v>
      </c>
      <c r="B69" s="144"/>
      <c r="C69" s="144"/>
      <c r="D69" s="144"/>
      <c r="E69" s="144"/>
      <c r="F69" s="144"/>
      <c r="G69" s="144"/>
      <c r="H69" s="460" t="s">
        <v>771</v>
      </c>
      <c r="I69" s="144"/>
      <c r="J69" s="144"/>
      <c r="K69" s="144"/>
      <c r="L69" s="144"/>
      <c r="M69" s="144"/>
      <c r="N69" s="145"/>
    </row>
    <row r="70" spans="1:14">
      <c r="A70" s="434" t="s">
        <v>944</v>
      </c>
      <c r="B70" s="431" t="s">
        <v>945</v>
      </c>
      <c r="C70" s="431" t="s">
        <v>946</v>
      </c>
      <c r="D70" s="431" t="s">
        <v>890</v>
      </c>
      <c r="E70" s="431">
        <v>1.4399999999999999E-7</v>
      </c>
      <c r="F70" s="433">
        <v>578</v>
      </c>
      <c r="G70" s="431">
        <v>1.4700000000000001E-7</v>
      </c>
      <c r="H70" s="458">
        <v>160</v>
      </c>
      <c r="I70" s="432">
        <v>2.1700000000000002E-9</v>
      </c>
      <c r="J70" s="433">
        <v>317</v>
      </c>
      <c r="K70" s="435">
        <v>2.0700000000000001E-10</v>
      </c>
      <c r="L70" s="433">
        <v>34</v>
      </c>
      <c r="M70" s="435">
        <v>1.2199999999999999E-10</v>
      </c>
      <c r="N70" s="433">
        <v>22</v>
      </c>
    </row>
    <row r="71" spans="1:14">
      <c r="A71" s="434" t="s">
        <v>947</v>
      </c>
      <c r="B71" s="431" t="s">
        <v>948</v>
      </c>
      <c r="C71" s="431" t="s">
        <v>949</v>
      </c>
      <c r="D71" s="431" t="s">
        <v>950</v>
      </c>
      <c r="E71" s="431">
        <v>8.6899999999999996E-7</v>
      </c>
      <c r="F71" s="433">
        <v>3480</v>
      </c>
      <c r="G71" s="431">
        <v>1.59E-6</v>
      </c>
      <c r="H71" s="458">
        <v>1730</v>
      </c>
      <c r="I71" s="432">
        <v>2.2399999999999999E-8</v>
      </c>
      <c r="J71" s="433">
        <v>3280</v>
      </c>
      <c r="K71" s="435">
        <v>9.6799999999999997E-9</v>
      </c>
      <c r="L71" s="433">
        <v>1570</v>
      </c>
      <c r="M71" s="435">
        <v>2.6200000000000001E-9</v>
      </c>
      <c r="N71" s="433">
        <v>479</v>
      </c>
    </row>
    <row r="72" spans="1:14">
      <c r="A72" s="434" t="s">
        <v>951</v>
      </c>
      <c r="B72" s="431" t="s">
        <v>952</v>
      </c>
      <c r="C72" s="431" t="s">
        <v>792</v>
      </c>
      <c r="D72" s="431" t="s">
        <v>953</v>
      </c>
      <c r="E72" s="432">
        <v>1.1199999999999999E-8</v>
      </c>
      <c r="F72" s="433">
        <v>45</v>
      </c>
      <c r="G72" s="432">
        <v>1.1199999999999999E-8</v>
      </c>
      <c r="H72" s="458">
        <v>12</v>
      </c>
      <c r="I72" s="432">
        <v>9.9299999999999996E-11</v>
      </c>
      <c r="J72" s="433">
        <v>15</v>
      </c>
      <c r="K72" s="435">
        <v>1.29E-11</v>
      </c>
      <c r="L72" s="433">
        <v>2</v>
      </c>
      <c r="M72" s="435">
        <v>9.1999999999999992E-13</v>
      </c>
      <c r="N72" s="433">
        <v>2</v>
      </c>
    </row>
    <row r="73" spans="1:14">
      <c r="A73" s="434" t="s">
        <v>954</v>
      </c>
      <c r="B73" s="431" t="s">
        <v>955</v>
      </c>
      <c r="C73" s="431" t="s">
        <v>843</v>
      </c>
      <c r="D73" s="431" t="s">
        <v>956</v>
      </c>
      <c r="E73" s="432">
        <v>8.1799999999999995E-9</v>
      </c>
      <c r="F73" s="433">
        <v>33</v>
      </c>
      <c r="G73" s="432">
        <v>8.1799999999999995E-9</v>
      </c>
      <c r="H73" s="458">
        <v>9</v>
      </c>
      <c r="I73" s="432">
        <v>6.7800000000000001E-11</v>
      </c>
      <c r="J73" s="433">
        <v>10</v>
      </c>
      <c r="K73" s="433">
        <v>920</v>
      </c>
      <c r="L73" s="433">
        <v>2</v>
      </c>
      <c r="M73" s="433">
        <v>670</v>
      </c>
      <c r="N73" s="433">
        <v>1</v>
      </c>
    </row>
    <row r="74" spans="1:14">
      <c r="A74" s="434" t="s">
        <v>957</v>
      </c>
      <c r="B74" s="431" t="s">
        <v>958</v>
      </c>
      <c r="C74" s="431" t="s">
        <v>843</v>
      </c>
      <c r="D74" s="431" t="s">
        <v>959</v>
      </c>
      <c r="E74" s="432">
        <v>1.5E-9</v>
      </c>
      <c r="F74" s="433">
        <v>60</v>
      </c>
      <c r="G74" s="432">
        <v>1.5E-9</v>
      </c>
      <c r="H74" s="458">
        <v>16</v>
      </c>
      <c r="I74" s="432">
        <v>1.2500000000000001E-10</v>
      </c>
      <c r="J74" s="433">
        <v>18</v>
      </c>
      <c r="K74" s="435">
        <v>1.7E-12</v>
      </c>
      <c r="L74" s="433">
        <v>3</v>
      </c>
      <c r="M74" s="435">
        <v>1.24E-11</v>
      </c>
      <c r="N74" s="433">
        <v>2</v>
      </c>
    </row>
    <row r="75" spans="1:14">
      <c r="A75" s="412" t="s">
        <v>960</v>
      </c>
      <c r="B75" s="436" t="s">
        <v>961</v>
      </c>
      <c r="C75" s="436" t="s">
        <v>962</v>
      </c>
      <c r="D75" s="436" t="s">
        <v>916</v>
      </c>
      <c r="E75" s="437">
        <v>8.2400000000000005E-10</v>
      </c>
      <c r="F75" s="438">
        <v>3</v>
      </c>
      <c r="G75" s="437">
        <v>8.2400000000000005E-10</v>
      </c>
      <c r="H75" s="459" t="s">
        <v>816</v>
      </c>
      <c r="I75" s="436">
        <v>660</v>
      </c>
      <c r="J75" s="438" t="s">
        <v>816</v>
      </c>
      <c r="K75" s="438">
        <v>900</v>
      </c>
      <c r="L75" s="438" t="s">
        <v>816</v>
      </c>
      <c r="M75" s="438">
        <v>600</v>
      </c>
      <c r="N75" s="438" t="s">
        <v>816</v>
      </c>
    </row>
    <row r="76" spans="1:14">
      <c r="A76" s="143" t="s">
        <v>963</v>
      </c>
      <c r="B76" s="144"/>
      <c r="C76" s="144"/>
      <c r="D76" s="144"/>
      <c r="E76" s="144"/>
      <c r="F76" s="144"/>
      <c r="G76" s="144"/>
      <c r="H76" s="460" t="s">
        <v>771</v>
      </c>
      <c r="I76" s="144"/>
      <c r="J76" s="144"/>
      <c r="K76" s="144"/>
      <c r="L76" s="144"/>
      <c r="M76" s="144"/>
      <c r="N76" s="145"/>
    </row>
    <row r="77" spans="1:14">
      <c r="A77" s="434" t="s">
        <v>742</v>
      </c>
      <c r="B77" s="431" t="s">
        <v>964</v>
      </c>
      <c r="C77" s="431" t="s">
        <v>965</v>
      </c>
      <c r="D77" s="431" t="s">
        <v>966</v>
      </c>
      <c r="E77" s="432">
        <v>2.16E-9</v>
      </c>
      <c r="F77" s="433">
        <v>9</v>
      </c>
      <c r="G77" s="432">
        <v>2.16E-9</v>
      </c>
      <c r="H77" s="458">
        <v>2</v>
      </c>
      <c r="I77" s="432">
        <v>1.8700000000000001E-11</v>
      </c>
      <c r="J77" s="433">
        <v>3</v>
      </c>
      <c r="K77" s="433">
        <v>240</v>
      </c>
      <c r="L77" s="433" t="s">
        <v>816</v>
      </c>
      <c r="M77" s="433">
        <v>170</v>
      </c>
      <c r="N77" s="433" t="s">
        <v>816</v>
      </c>
    </row>
    <row r="78" spans="1:14">
      <c r="A78" s="434" t="s">
        <v>967</v>
      </c>
      <c r="B78" s="431" t="s">
        <v>968</v>
      </c>
      <c r="C78" s="431" t="s">
        <v>969</v>
      </c>
      <c r="D78" s="431" t="s">
        <v>916</v>
      </c>
      <c r="E78" s="432">
        <v>9.3099999999999999E-10</v>
      </c>
      <c r="F78" s="433">
        <v>4</v>
      </c>
      <c r="G78" s="432">
        <v>9.3099999999999999E-10</v>
      </c>
      <c r="H78" s="458">
        <v>1</v>
      </c>
      <c r="I78" s="431">
        <v>760</v>
      </c>
      <c r="J78" s="433">
        <v>1</v>
      </c>
      <c r="K78" s="433">
        <v>100</v>
      </c>
      <c r="L78" s="433" t="s">
        <v>816</v>
      </c>
      <c r="M78" s="433">
        <v>700</v>
      </c>
      <c r="N78" s="433" t="s">
        <v>816</v>
      </c>
    </row>
    <row r="79" spans="1:14">
      <c r="A79" s="434" t="s">
        <v>970</v>
      </c>
      <c r="B79" s="431" t="s">
        <v>971</v>
      </c>
      <c r="C79" s="431" t="s">
        <v>822</v>
      </c>
      <c r="D79" s="431" t="s">
        <v>972</v>
      </c>
      <c r="E79" s="431">
        <v>3.3700000000000001E-7</v>
      </c>
      <c r="F79" s="433">
        <v>1350</v>
      </c>
      <c r="G79" s="431">
        <v>3.4499999999999998E-7</v>
      </c>
      <c r="H79" s="458">
        <v>376</v>
      </c>
      <c r="I79" s="432">
        <v>5.1700000000000001E-9</v>
      </c>
      <c r="J79" s="433">
        <v>756</v>
      </c>
      <c r="K79" s="435">
        <v>4.9600000000000004E-10</v>
      </c>
      <c r="L79" s="433">
        <v>80</v>
      </c>
      <c r="M79" s="435">
        <v>2.8699999999999999E-10</v>
      </c>
      <c r="N79" s="433">
        <v>52</v>
      </c>
    </row>
    <row r="80" spans="1:14">
      <c r="A80" s="434" t="s">
        <v>973</v>
      </c>
      <c r="B80" s="431" t="s">
        <v>974</v>
      </c>
      <c r="C80" s="431" t="s">
        <v>975</v>
      </c>
      <c r="D80" s="431" t="s">
        <v>853</v>
      </c>
      <c r="E80" s="431">
        <v>2.1199999999999999E-7</v>
      </c>
      <c r="F80" s="433">
        <v>848</v>
      </c>
      <c r="G80" s="431">
        <v>2.1199999999999999E-7</v>
      </c>
      <c r="H80" s="458">
        <v>231</v>
      </c>
      <c r="I80" s="432">
        <v>2.4300000000000001E-9</v>
      </c>
      <c r="J80" s="433">
        <v>356</v>
      </c>
      <c r="K80" s="435">
        <v>2.6099999999999998E-10</v>
      </c>
      <c r="L80" s="433">
        <v>42</v>
      </c>
      <c r="M80" s="435">
        <v>1.7499999999999999E-10</v>
      </c>
      <c r="N80" s="433">
        <v>32</v>
      </c>
    </row>
    <row r="81" spans="1:14">
      <c r="A81" s="434" t="s">
        <v>183</v>
      </c>
      <c r="B81" s="431" t="s">
        <v>976</v>
      </c>
      <c r="C81" s="431" t="s">
        <v>977</v>
      </c>
      <c r="D81" s="431" t="s">
        <v>978</v>
      </c>
      <c r="E81" s="431">
        <v>1.15E-6</v>
      </c>
      <c r="F81" s="433">
        <v>4590</v>
      </c>
      <c r="G81" s="431">
        <v>1.6E-7</v>
      </c>
      <c r="H81" s="458">
        <v>1750</v>
      </c>
      <c r="I81" s="432">
        <v>2.7000000000000002E-9</v>
      </c>
      <c r="J81" s="433">
        <v>3950</v>
      </c>
      <c r="K81" s="435">
        <v>6.9800000000000003E-9</v>
      </c>
      <c r="L81" s="433">
        <v>1130</v>
      </c>
      <c r="M81" s="435">
        <v>1.62E-9</v>
      </c>
      <c r="N81" s="433">
        <v>297</v>
      </c>
    </row>
    <row r="82" spans="1:14">
      <c r="A82" s="434" t="s">
        <v>184</v>
      </c>
      <c r="B82" s="431" t="s">
        <v>979</v>
      </c>
      <c r="C82" s="431" t="s">
        <v>980</v>
      </c>
      <c r="D82" s="431" t="s">
        <v>981</v>
      </c>
      <c r="E82" s="431">
        <v>1.95E-6</v>
      </c>
      <c r="F82" s="433">
        <v>7800</v>
      </c>
      <c r="G82" s="431">
        <v>5.7699999999999998E-6</v>
      </c>
      <c r="H82" s="458">
        <v>6290</v>
      </c>
      <c r="I82" s="432">
        <v>5.4599999999999999E-8</v>
      </c>
      <c r="J82" s="433">
        <v>7990</v>
      </c>
      <c r="K82" s="435">
        <v>4.1600000000000002E-8</v>
      </c>
      <c r="L82" s="433">
        <v>6750</v>
      </c>
      <c r="M82" s="435">
        <v>2.2799999999999999E-8</v>
      </c>
      <c r="N82" s="433">
        <v>4170</v>
      </c>
    </row>
    <row r="83" spans="1:14">
      <c r="A83" s="434" t="s">
        <v>982</v>
      </c>
      <c r="B83" s="431" t="s">
        <v>983</v>
      </c>
      <c r="C83" s="431" t="s">
        <v>795</v>
      </c>
      <c r="D83" s="431" t="s">
        <v>984</v>
      </c>
      <c r="E83" s="431">
        <v>1.5900000000000001E-7</v>
      </c>
      <c r="F83" s="433">
        <v>635</v>
      </c>
      <c r="G83" s="431">
        <v>1.5900000000000001E-7</v>
      </c>
      <c r="H83" s="458">
        <v>173</v>
      </c>
      <c r="I83" s="432">
        <v>1.9599999999999998E-9</v>
      </c>
      <c r="J83" s="433">
        <v>286</v>
      </c>
      <c r="K83" s="435">
        <v>2.01E-10</v>
      </c>
      <c r="L83" s="433">
        <v>33</v>
      </c>
      <c r="M83" s="435">
        <v>1.3200000000000001E-10</v>
      </c>
      <c r="N83" s="433">
        <v>24</v>
      </c>
    </row>
    <row r="84" spans="1:14">
      <c r="A84" s="434" t="s">
        <v>985</v>
      </c>
      <c r="B84" s="431" t="s">
        <v>986</v>
      </c>
      <c r="C84" s="431" t="s">
        <v>792</v>
      </c>
      <c r="D84" s="431" t="s">
        <v>838</v>
      </c>
      <c r="E84" s="432">
        <v>3.77E-8</v>
      </c>
      <c r="F84" s="433">
        <v>151</v>
      </c>
      <c r="G84" s="432">
        <v>3.77E-8</v>
      </c>
      <c r="H84" s="458">
        <v>41</v>
      </c>
      <c r="I84" s="432">
        <v>3.3499999999999998E-10</v>
      </c>
      <c r="J84" s="433">
        <v>49</v>
      </c>
      <c r="K84" s="435">
        <v>4.34E-11</v>
      </c>
      <c r="L84" s="433">
        <v>7</v>
      </c>
      <c r="M84" s="435">
        <v>3.1000000000000001E-12</v>
      </c>
      <c r="N84" s="433">
        <v>6</v>
      </c>
    </row>
    <row r="85" spans="1:14">
      <c r="A85" s="434" t="s">
        <v>987</v>
      </c>
      <c r="B85" s="431" t="s">
        <v>988</v>
      </c>
      <c r="C85" s="431" t="s">
        <v>975</v>
      </c>
      <c r="D85" s="431" t="s">
        <v>832</v>
      </c>
      <c r="E85" s="431">
        <v>1.68E-7</v>
      </c>
      <c r="F85" s="433">
        <v>674</v>
      </c>
      <c r="G85" s="431">
        <v>1.68E-7</v>
      </c>
      <c r="H85" s="458">
        <v>184</v>
      </c>
      <c r="I85" s="432">
        <v>1.9399999999999999E-9</v>
      </c>
      <c r="J85" s="433">
        <v>283</v>
      </c>
      <c r="K85" s="435">
        <v>2.0700000000000001E-10</v>
      </c>
      <c r="L85" s="433">
        <v>34</v>
      </c>
      <c r="M85" s="435">
        <v>1.3900000000000001E-10</v>
      </c>
      <c r="N85" s="433">
        <v>25</v>
      </c>
    </row>
    <row r="86" spans="1:14">
      <c r="A86" s="412" t="s">
        <v>185</v>
      </c>
      <c r="B86" s="436" t="s">
        <v>989</v>
      </c>
      <c r="C86" s="436" t="s">
        <v>990</v>
      </c>
      <c r="D86" s="436" t="s">
        <v>894</v>
      </c>
      <c r="E86" s="436">
        <v>8.5899999999999995E-7</v>
      </c>
      <c r="F86" s="438">
        <v>3440</v>
      </c>
      <c r="G86" s="436">
        <v>1.35E-6</v>
      </c>
      <c r="H86" s="459">
        <v>1470</v>
      </c>
      <c r="I86" s="437">
        <v>2.1200000000000001E-8</v>
      </c>
      <c r="J86" s="438">
        <v>3100</v>
      </c>
      <c r="K86" s="439">
        <v>7.0800000000000004E-9</v>
      </c>
      <c r="L86" s="438">
        <v>1150</v>
      </c>
      <c r="M86" s="439">
        <v>1.6600000000000001E-9</v>
      </c>
      <c r="N86" s="438">
        <v>304</v>
      </c>
    </row>
    <row r="87" spans="1:14">
      <c r="A87" s="143" t="s">
        <v>991</v>
      </c>
      <c r="B87" s="144"/>
      <c r="C87" s="144"/>
      <c r="D87" s="144"/>
      <c r="E87" s="144"/>
      <c r="F87" s="144"/>
      <c r="G87" s="144"/>
      <c r="H87" s="460" t="s">
        <v>771</v>
      </c>
      <c r="I87" s="144"/>
      <c r="J87" s="144"/>
      <c r="K87" s="144"/>
      <c r="L87" s="144"/>
      <c r="M87" s="144"/>
      <c r="N87" s="145"/>
    </row>
    <row r="88" spans="1:14">
      <c r="A88" s="434" t="s">
        <v>734</v>
      </c>
      <c r="B88" s="431" t="s">
        <v>992</v>
      </c>
      <c r="C88" s="431" t="s">
        <v>993</v>
      </c>
      <c r="D88" s="431" t="s">
        <v>994</v>
      </c>
      <c r="E88" s="431">
        <v>3.19E-6</v>
      </c>
      <c r="F88" s="433">
        <v>12.8</v>
      </c>
      <c r="G88" s="431">
        <v>1.47E-5</v>
      </c>
      <c r="H88" s="458">
        <v>16100</v>
      </c>
      <c r="I88" s="432">
        <v>9.39E-8</v>
      </c>
      <c r="J88" s="433">
        <v>13.7</v>
      </c>
      <c r="K88" s="433">
        <v>1.02E-7</v>
      </c>
      <c r="L88" s="433">
        <v>16.5</v>
      </c>
      <c r="M88" s="435">
        <v>9.9099999999999994E-8</v>
      </c>
      <c r="N88" s="433">
        <v>18.100000000000001</v>
      </c>
    </row>
    <row r="89" spans="1:14">
      <c r="A89" s="434" t="s">
        <v>732</v>
      </c>
      <c r="B89" s="431" t="s">
        <v>995</v>
      </c>
      <c r="C89" s="431" t="s">
        <v>996</v>
      </c>
      <c r="D89" s="431" t="s">
        <v>997</v>
      </c>
      <c r="E89" s="431">
        <v>4.3699999999999997E-6</v>
      </c>
      <c r="F89" s="433">
        <v>17.5</v>
      </c>
      <c r="G89" s="431">
        <v>2.16E-5</v>
      </c>
      <c r="H89" s="458">
        <v>23500</v>
      </c>
      <c r="I89" s="431">
        <v>1.29E-7</v>
      </c>
      <c r="J89" s="433">
        <v>18.899999999999999</v>
      </c>
      <c r="K89" s="433">
        <v>1.4700000000000001E-7</v>
      </c>
      <c r="L89" s="433">
        <v>23.8</v>
      </c>
      <c r="M89" s="433">
        <v>1.54E-7</v>
      </c>
      <c r="N89" s="433">
        <v>28.2</v>
      </c>
    </row>
    <row r="90" spans="1:14">
      <c r="A90" s="434" t="s">
        <v>998</v>
      </c>
      <c r="B90" s="431" t="s">
        <v>999</v>
      </c>
      <c r="C90" s="431" t="s">
        <v>1000</v>
      </c>
      <c r="D90" s="431" t="s">
        <v>1001</v>
      </c>
      <c r="E90" s="431">
        <v>3.36E-6</v>
      </c>
      <c r="F90" s="433">
        <v>13.5</v>
      </c>
      <c r="G90" s="431">
        <v>1.5999999999999999E-6</v>
      </c>
      <c r="H90" s="458">
        <v>17400</v>
      </c>
      <c r="I90" s="432">
        <v>9.9299999999999996E-8</v>
      </c>
      <c r="J90" s="433">
        <v>14.5</v>
      </c>
      <c r="K90" s="433">
        <v>1.0999999999999999E-8</v>
      </c>
      <c r="L90" s="433">
        <v>17.8</v>
      </c>
      <c r="M90" s="433">
        <v>1.11E-7</v>
      </c>
      <c r="N90" s="433">
        <v>20.2</v>
      </c>
    </row>
    <row r="91" spans="1:14">
      <c r="A91" s="434" t="s">
        <v>1002</v>
      </c>
      <c r="B91" s="431" t="s">
        <v>1003</v>
      </c>
      <c r="C91" s="431" t="s">
        <v>1004</v>
      </c>
      <c r="D91" s="431" t="s">
        <v>994</v>
      </c>
      <c r="E91" s="431">
        <v>1.7099999999999999E-6</v>
      </c>
      <c r="F91" s="433">
        <v>6840</v>
      </c>
      <c r="G91" s="431">
        <v>3.76E-6</v>
      </c>
      <c r="H91" s="458">
        <v>4090</v>
      </c>
      <c r="I91" s="432">
        <v>4.58E-8</v>
      </c>
      <c r="J91" s="433">
        <v>6690</v>
      </c>
      <c r="K91" s="435">
        <v>2.55E-8</v>
      </c>
      <c r="L91" s="433">
        <v>4140</v>
      </c>
      <c r="M91" s="435">
        <v>9.0099999999999993E-9</v>
      </c>
      <c r="N91" s="433">
        <v>1650</v>
      </c>
    </row>
    <row r="92" spans="1:14">
      <c r="A92" s="434" t="s">
        <v>729</v>
      </c>
      <c r="B92" s="431" t="s">
        <v>1005</v>
      </c>
      <c r="C92" s="431" t="s">
        <v>1006</v>
      </c>
      <c r="D92" s="431" t="s">
        <v>1007</v>
      </c>
      <c r="E92" s="431">
        <v>1.22E-6</v>
      </c>
      <c r="F92" s="433">
        <v>4880</v>
      </c>
      <c r="G92" s="431">
        <v>6.0800000000000002E-6</v>
      </c>
      <c r="H92" s="458">
        <v>6630</v>
      </c>
      <c r="I92" s="432">
        <v>3.6099999999999999E-8</v>
      </c>
      <c r="J92" s="433">
        <v>5270</v>
      </c>
      <c r="K92" s="435">
        <v>4.1199999999999998E-8</v>
      </c>
      <c r="L92" s="433">
        <v>6690</v>
      </c>
      <c r="M92" s="435">
        <v>4.3999999999999997E-9</v>
      </c>
      <c r="N92" s="433">
        <v>8040</v>
      </c>
    </row>
    <row r="93" spans="1:14">
      <c r="A93" s="434" t="s">
        <v>727</v>
      </c>
      <c r="B93" s="431" t="s">
        <v>1008</v>
      </c>
      <c r="C93" s="431" t="s">
        <v>1009</v>
      </c>
      <c r="D93" s="431" t="s">
        <v>1010</v>
      </c>
      <c r="E93" s="431">
        <v>2.0499999999999999E-6</v>
      </c>
      <c r="F93" s="433">
        <v>8210</v>
      </c>
      <c r="G93" s="431">
        <v>1.0200000000000001E-5</v>
      </c>
      <c r="H93" s="458">
        <v>11100</v>
      </c>
      <c r="I93" s="432">
        <v>6.0699999999999994E-8</v>
      </c>
      <c r="J93" s="433">
        <v>8880</v>
      </c>
      <c r="K93" s="435">
        <v>6.9300000000000005E-8</v>
      </c>
      <c r="L93" s="433">
        <v>11.2</v>
      </c>
      <c r="M93" s="435">
        <v>7.3599999999999997E-8</v>
      </c>
      <c r="N93" s="433">
        <v>13.5</v>
      </c>
    </row>
    <row r="94" spans="1:14">
      <c r="A94" s="434" t="s">
        <v>1011</v>
      </c>
      <c r="B94" s="431" t="s">
        <v>1012</v>
      </c>
      <c r="C94" s="431" t="s">
        <v>1013</v>
      </c>
      <c r="D94" s="431" t="s">
        <v>1014</v>
      </c>
      <c r="E94" s="431">
        <v>1.7099999999999999E-6</v>
      </c>
      <c r="F94" s="433">
        <v>6850</v>
      </c>
      <c r="G94" s="431">
        <v>8.4400000000000005E-6</v>
      </c>
      <c r="H94" s="458">
        <v>9200</v>
      </c>
      <c r="I94" s="432">
        <v>5.0600000000000003E-8</v>
      </c>
      <c r="J94" s="433">
        <v>7400</v>
      </c>
      <c r="K94" s="435">
        <v>5.7399999999999998E-8</v>
      </c>
      <c r="L94" s="433">
        <v>9310</v>
      </c>
      <c r="M94" s="435">
        <v>6.0300000000000004E-8</v>
      </c>
      <c r="N94" s="433">
        <v>11</v>
      </c>
    </row>
    <row r="95" spans="1:14">
      <c r="A95" s="434" t="s">
        <v>731</v>
      </c>
      <c r="B95" s="431" t="s">
        <v>1015</v>
      </c>
      <c r="C95" s="431" t="s">
        <v>1016</v>
      </c>
      <c r="D95" s="431" t="s">
        <v>1017</v>
      </c>
      <c r="E95" s="431">
        <v>1.66E-6</v>
      </c>
      <c r="F95" s="433">
        <v>6640</v>
      </c>
      <c r="G95" s="431">
        <v>8.1599999999999998E-6</v>
      </c>
      <c r="H95" s="458">
        <v>8900</v>
      </c>
      <c r="I95" s="432">
        <v>4.9100000000000003E-8</v>
      </c>
      <c r="J95" s="433">
        <v>7180</v>
      </c>
      <c r="K95" s="435">
        <v>5.5600000000000002E-8</v>
      </c>
      <c r="L95" s="433">
        <v>9010</v>
      </c>
      <c r="M95" s="435">
        <v>5.8299999999999999E-8</v>
      </c>
      <c r="N95" s="433">
        <v>10.7</v>
      </c>
    </row>
    <row r="96" spans="1:14">
      <c r="A96" s="434" t="s">
        <v>726</v>
      </c>
      <c r="B96" s="431" t="s">
        <v>1018</v>
      </c>
      <c r="C96" s="431" t="s">
        <v>996</v>
      </c>
      <c r="D96" s="431" t="s">
        <v>1019</v>
      </c>
      <c r="E96" s="431">
        <v>1.77E-6</v>
      </c>
      <c r="F96" s="433">
        <v>7110</v>
      </c>
      <c r="G96" s="431">
        <v>8.7499999999999992E-6</v>
      </c>
      <c r="H96" s="458">
        <v>9540</v>
      </c>
      <c r="I96" s="432">
        <v>5.25E-8</v>
      </c>
      <c r="J96" s="433">
        <v>7680</v>
      </c>
      <c r="K96" s="435">
        <v>5.9599999999999998E-8</v>
      </c>
      <c r="L96" s="433">
        <v>9660</v>
      </c>
      <c r="M96" s="435">
        <v>6.2699999999999999E-8</v>
      </c>
      <c r="N96" s="433">
        <v>11.5</v>
      </c>
    </row>
    <row r="97" spans="1:14">
      <c r="A97" s="434" t="s">
        <v>725</v>
      </c>
      <c r="B97" s="431" t="s">
        <v>1020</v>
      </c>
      <c r="C97" s="431" t="s">
        <v>1016</v>
      </c>
      <c r="D97" s="431" t="s">
        <v>1021</v>
      </c>
      <c r="E97" s="431">
        <v>1.7099999999999999E-6</v>
      </c>
      <c r="F97" s="433">
        <v>6870</v>
      </c>
      <c r="G97" s="431">
        <v>8.4400000000000005E-6</v>
      </c>
      <c r="H97" s="458">
        <v>9200</v>
      </c>
      <c r="I97" s="432">
        <v>5.0799999999999998E-8</v>
      </c>
      <c r="J97" s="433">
        <v>7420</v>
      </c>
      <c r="K97" s="435">
        <v>5.7499999999999999E-8</v>
      </c>
      <c r="L97" s="433">
        <v>9320</v>
      </c>
      <c r="M97" s="435">
        <v>6.0199999999999996E-8</v>
      </c>
      <c r="N97" s="433">
        <v>11</v>
      </c>
    </row>
    <row r="98" spans="1:14">
      <c r="A98" s="434" t="s">
        <v>1022</v>
      </c>
      <c r="B98" s="431" t="s">
        <v>1023</v>
      </c>
      <c r="C98" s="431" t="s">
        <v>1024</v>
      </c>
      <c r="D98" s="431" t="s">
        <v>1025</v>
      </c>
      <c r="E98" s="432">
        <v>1.7100000000000001E-9</v>
      </c>
      <c r="F98" s="433">
        <v>7</v>
      </c>
      <c r="G98" s="432">
        <v>1.7100000000000001E-9</v>
      </c>
      <c r="H98" s="458">
        <v>9200</v>
      </c>
      <c r="I98" s="432">
        <v>1.37E-11</v>
      </c>
      <c r="J98" s="433">
        <v>2</v>
      </c>
      <c r="K98" s="433">
        <v>190</v>
      </c>
      <c r="L98" s="433" t="s">
        <v>816</v>
      </c>
      <c r="M98" s="435">
        <v>1.4000000000000001E-13</v>
      </c>
      <c r="N98" s="433" t="s">
        <v>816</v>
      </c>
    </row>
    <row r="99" spans="1:14">
      <c r="A99" s="434" t="s">
        <v>730</v>
      </c>
      <c r="B99" s="431" t="s">
        <v>1026</v>
      </c>
      <c r="C99" s="431" t="s">
        <v>1027</v>
      </c>
      <c r="D99" s="431" t="s">
        <v>1028</v>
      </c>
      <c r="E99" s="431">
        <v>1.5799999999999999E-6</v>
      </c>
      <c r="F99" s="433">
        <v>6350</v>
      </c>
      <c r="G99" s="431">
        <v>7.8399999999999995E-6</v>
      </c>
      <c r="H99" s="458">
        <v>8550</v>
      </c>
      <c r="I99" s="432">
        <v>4.6900000000000003E-8</v>
      </c>
      <c r="J99" s="433">
        <v>6860</v>
      </c>
      <c r="K99" s="435">
        <v>5.3300000000000001E-8</v>
      </c>
      <c r="L99" s="433">
        <v>8650</v>
      </c>
      <c r="M99" s="435">
        <v>5.62E-8</v>
      </c>
      <c r="N99" s="433">
        <v>10.3</v>
      </c>
    </row>
    <row r="100" spans="1:14">
      <c r="A100" s="434" t="s">
        <v>728</v>
      </c>
      <c r="B100" s="431" t="s">
        <v>1029</v>
      </c>
      <c r="C100" s="431" t="s">
        <v>1030</v>
      </c>
      <c r="D100" s="431" t="s">
        <v>1031</v>
      </c>
      <c r="E100" s="431">
        <v>1.4699999999999999E-6</v>
      </c>
      <c r="F100" s="433">
        <v>5890</v>
      </c>
      <c r="G100" s="431">
        <v>7.2599999999999999E-6</v>
      </c>
      <c r="H100" s="458">
        <v>7910</v>
      </c>
      <c r="I100" s="432">
        <v>4.3499999999999999E-8</v>
      </c>
      <c r="J100" s="433">
        <v>6370</v>
      </c>
      <c r="K100" s="435">
        <v>4.9399999999999999E-8</v>
      </c>
      <c r="L100" s="433">
        <v>8010</v>
      </c>
      <c r="M100" s="435">
        <v>5.1900000000000002E-8</v>
      </c>
      <c r="N100" s="433">
        <v>9490</v>
      </c>
    </row>
    <row r="101" spans="1:14">
      <c r="A101" s="434" t="s">
        <v>1032</v>
      </c>
      <c r="B101" s="431" t="s">
        <v>1033</v>
      </c>
      <c r="C101" s="431" t="s">
        <v>1013</v>
      </c>
      <c r="D101" s="431" t="s">
        <v>1034</v>
      </c>
      <c r="E101" s="431">
        <v>1.4500000000000001E-6</v>
      </c>
      <c r="F101" s="433">
        <v>5830</v>
      </c>
      <c r="G101" s="431">
        <v>7.17E-6</v>
      </c>
      <c r="H101" s="458">
        <v>7820</v>
      </c>
      <c r="I101" s="432">
        <v>4.3100000000000002E-8</v>
      </c>
      <c r="J101" s="433">
        <v>6290</v>
      </c>
      <c r="K101" s="435">
        <v>4.88E-8</v>
      </c>
      <c r="L101" s="433">
        <v>7920</v>
      </c>
      <c r="M101" s="435">
        <v>5.1300000000000003E-8</v>
      </c>
      <c r="N101" s="433">
        <v>9380</v>
      </c>
    </row>
    <row r="102" spans="1:14">
      <c r="A102" s="434" t="s">
        <v>1035</v>
      </c>
      <c r="B102" s="431" t="s">
        <v>1036</v>
      </c>
      <c r="C102" s="431" t="s">
        <v>1013</v>
      </c>
      <c r="D102" s="431" t="s">
        <v>1037</v>
      </c>
      <c r="E102" s="431">
        <v>1.42E-6</v>
      </c>
      <c r="F102" s="433">
        <v>5680</v>
      </c>
      <c r="G102" s="431">
        <v>6.99E-6</v>
      </c>
      <c r="H102" s="458">
        <v>7620</v>
      </c>
      <c r="I102" s="432">
        <v>4.2000000000000004E-9</v>
      </c>
      <c r="J102" s="433">
        <v>6130</v>
      </c>
      <c r="K102" s="435">
        <v>4.7600000000000003E-8</v>
      </c>
      <c r="L102" s="433">
        <v>7710</v>
      </c>
      <c r="M102" s="435">
        <v>5.0000000000000003E-10</v>
      </c>
      <c r="N102" s="433">
        <v>9140</v>
      </c>
    </row>
    <row r="103" spans="1:14">
      <c r="A103" s="434" t="s">
        <v>1038</v>
      </c>
      <c r="B103" s="431" t="s">
        <v>1039</v>
      </c>
      <c r="C103" s="431" t="s">
        <v>1040</v>
      </c>
      <c r="D103" s="431" t="s">
        <v>1037</v>
      </c>
      <c r="E103" s="431">
        <v>1.3400000000000001E-6</v>
      </c>
      <c r="F103" s="433">
        <v>5390</v>
      </c>
      <c r="G103" s="431">
        <v>6.5899999999999996E-6</v>
      </c>
      <c r="H103" s="458">
        <v>7190</v>
      </c>
      <c r="I103" s="432">
        <v>3.9799999999999999E-8</v>
      </c>
      <c r="J103" s="433">
        <v>5820</v>
      </c>
      <c r="K103" s="435">
        <v>4.4899999999999998E-8</v>
      </c>
      <c r="L103" s="433">
        <v>7290</v>
      </c>
      <c r="M103" s="435">
        <v>4.6800000000000002E-8</v>
      </c>
      <c r="N103" s="433">
        <v>8570</v>
      </c>
    </row>
    <row r="104" spans="1:14">
      <c r="A104" s="434" t="s">
        <v>1041</v>
      </c>
      <c r="B104" s="431" t="s">
        <v>1042</v>
      </c>
      <c r="C104" s="431" t="s">
        <v>1040</v>
      </c>
      <c r="D104" s="431" t="s">
        <v>1043</v>
      </c>
      <c r="E104" s="431">
        <v>1.35E-6</v>
      </c>
      <c r="F104" s="433">
        <v>5430</v>
      </c>
      <c r="G104" s="431">
        <v>6.64E-6</v>
      </c>
      <c r="H104" s="458">
        <v>7240</v>
      </c>
      <c r="I104" s="432">
        <v>4.0100000000000002E-8</v>
      </c>
      <c r="J104" s="433">
        <v>5860</v>
      </c>
      <c r="K104" s="435">
        <v>4.5200000000000001E-8</v>
      </c>
      <c r="L104" s="433">
        <v>7340</v>
      </c>
      <c r="M104" s="435">
        <v>4.7199999999999999E-8</v>
      </c>
      <c r="N104" s="433">
        <v>8630</v>
      </c>
    </row>
    <row r="105" spans="1:14">
      <c r="A105" s="434" t="s">
        <v>1044</v>
      </c>
      <c r="B105" s="431" t="s">
        <v>1045</v>
      </c>
      <c r="C105" s="431" t="s">
        <v>1040</v>
      </c>
      <c r="D105" s="431" t="s">
        <v>1046</v>
      </c>
      <c r="E105" s="431">
        <v>1.1799999999999999E-6</v>
      </c>
      <c r="F105" s="433">
        <v>4720</v>
      </c>
      <c r="G105" s="431">
        <v>5.7699999999999998E-6</v>
      </c>
      <c r="H105" s="458">
        <v>6290</v>
      </c>
      <c r="I105" s="432">
        <v>3.4800000000000001E-8</v>
      </c>
      <c r="J105" s="433">
        <v>5090</v>
      </c>
      <c r="K105" s="435">
        <v>3.9300000000000001E-8</v>
      </c>
      <c r="L105" s="433">
        <v>6380</v>
      </c>
      <c r="M105" s="435">
        <v>4.1000000000000003E-9</v>
      </c>
      <c r="N105" s="433">
        <v>7500</v>
      </c>
    </row>
    <row r="106" spans="1:14">
      <c r="A106" s="434" t="s">
        <v>1047</v>
      </c>
      <c r="B106" s="431" t="s">
        <v>1048</v>
      </c>
      <c r="C106" s="431" t="s">
        <v>1049</v>
      </c>
      <c r="D106" s="431" t="s">
        <v>1050</v>
      </c>
      <c r="E106" s="431">
        <v>260</v>
      </c>
      <c r="F106" s="433" t="s">
        <v>816</v>
      </c>
      <c r="G106" s="431">
        <v>260</v>
      </c>
      <c r="H106" s="458" t="s">
        <v>816</v>
      </c>
      <c r="I106" s="431">
        <v>512</v>
      </c>
      <c r="J106" s="433" t="s">
        <v>816</v>
      </c>
      <c r="K106" s="433">
        <v>8192</v>
      </c>
      <c r="L106" s="433" t="s">
        <v>816</v>
      </c>
      <c r="M106" s="433">
        <v>8192</v>
      </c>
      <c r="N106" s="433" t="s">
        <v>816</v>
      </c>
    </row>
    <row r="107" spans="1:14">
      <c r="A107" s="434" t="s">
        <v>1051</v>
      </c>
      <c r="B107" s="431" t="s">
        <v>1052</v>
      </c>
      <c r="C107" s="431" t="s">
        <v>915</v>
      </c>
      <c r="D107" s="431" t="s">
        <v>916</v>
      </c>
      <c r="E107" s="432">
        <v>6.4199999999999995E-11</v>
      </c>
      <c r="F107" s="433" t="s">
        <v>816</v>
      </c>
      <c r="G107" s="432">
        <v>6.4199999999999995E-11</v>
      </c>
      <c r="H107" s="458" t="s">
        <v>816</v>
      </c>
      <c r="I107" s="431">
        <v>500</v>
      </c>
      <c r="J107" s="433" t="s">
        <v>816</v>
      </c>
      <c r="K107" s="433">
        <v>512</v>
      </c>
      <c r="L107" s="433" t="s">
        <v>816</v>
      </c>
      <c r="M107" s="433">
        <v>512</v>
      </c>
      <c r="N107" s="433" t="s">
        <v>816</v>
      </c>
    </row>
    <row r="108" spans="1:14">
      <c r="A108" s="434" t="s">
        <v>1053</v>
      </c>
      <c r="B108" s="431" t="s">
        <v>1054</v>
      </c>
      <c r="C108" s="431" t="s">
        <v>1049</v>
      </c>
      <c r="D108" s="431" t="s">
        <v>1055</v>
      </c>
      <c r="E108" s="431">
        <v>320</v>
      </c>
      <c r="F108" s="433" t="s">
        <v>816</v>
      </c>
      <c r="G108" s="431">
        <v>320</v>
      </c>
      <c r="H108" s="458" t="s">
        <v>816</v>
      </c>
      <c r="I108" s="431">
        <v>512</v>
      </c>
      <c r="J108" s="433" t="s">
        <v>816</v>
      </c>
      <c r="K108" s="433">
        <v>8192</v>
      </c>
      <c r="L108" s="433" t="s">
        <v>816</v>
      </c>
      <c r="M108" s="433">
        <v>8192</v>
      </c>
      <c r="N108" s="433" t="s">
        <v>816</v>
      </c>
    </row>
    <row r="109" spans="1:14">
      <c r="A109" s="434" t="s">
        <v>1056</v>
      </c>
      <c r="B109" s="431" t="s">
        <v>1057</v>
      </c>
      <c r="C109" s="431" t="s">
        <v>1058</v>
      </c>
      <c r="D109" s="431" t="s">
        <v>826</v>
      </c>
      <c r="E109" s="432">
        <v>8.3799999999999998E-11</v>
      </c>
      <c r="F109" s="433" t="s">
        <v>816</v>
      </c>
      <c r="G109" s="432">
        <v>8.3799999999999998E-11</v>
      </c>
      <c r="H109" s="458" t="s">
        <v>816</v>
      </c>
      <c r="I109" s="431">
        <v>600</v>
      </c>
      <c r="J109" s="433" t="s">
        <v>816</v>
      </c>
      <c r="K109" s="433">
        <v>512</v>
      </c>
      <c r="L109" s="433" t="s">
        <v>816</v>
      </c>
      <c r="M109" s="433">
        <v>512</v>
      </c>
      <c r="N109" s="433" t="s">
        <v>816</v>
      </c>
    </row>
    <row r="110" spans="1:14">
      <c r="A110" s="412" t="s">
        <v>1059</v>
      </c>
      <c r="B110" s="436" t="s">
        <v>1060</v>
      </c>
      <c r="C110" s="436" t="s">
        <v>1024</v>
      </c>
      <c r="D110" s="436" t="s">
        <v>890</v>
      </c>
      <c r="E110" s="437">
        <v>1.62E-9</v>
      </c>
      <c r="F110" s="438">
        <v>6</v>
      </c>
      <c r="G110" s="437">
        <v>1.62E-9</v>
      </c>
      <c r="H110" s="459">
        <v>2</v>
      </c>
      <c r="I110" s="437">
        <v>1.2999999999999999E-12</v>
      </c>
      <c r="J110" s="438">
        <v>2</v>
      </c>
      <c r="K110" s="438">
        <v>180</v>
      </c>
      <c r="L110" s="438" t="s">
        <v>816</v>
      </c>
      <c r="M110" s="438">
        <v>130</v>
      </c>
      <c r="N110" s="438" t="s">
        <v>816</v>
      </c>
    </row>
    <row r="111" spans="1:14">
      <c r="A111" s="143" t="s">
        <v>1061</v>
      </c>
      <c r="B111" s="144"/>
      <c r="C111" s="144"/>
      <c r="D111" s="144"/>
      <c r="E111" s="144"/>
      <c r="F111" s="144"/>
      <c r="G111" s="144"/>
      <c r="H111" s="460" t="s">
        <v>771</v>
      </c>
      <c r="I111" s="144"/>
      <c r="J111" s="144"/>
      <c r="K111" s="144"/>
      <c r="L111" s="144"/>
      <c r="M111" s="144"/>
      <c r="N111" s="145"/>
    </row>
    <row r="112" spans="1:14">
      <c r="A112" s="434" t="s">
        <v>1062</v>
      </c>
      <c r="B112" s="431" t="s">
        <v>1063</v>
      </c>
      <c r="C112" s="431" t="s">
        <v>1064</v>
      </c>
      <c r="D112" s="431" t="s">
        <v>1028</v>
      </c>
      <c r="E112" s="431">
        <v>3.1E-7</v>
      </c>
      <c r="F112" s="433">
        <v>12.4</v>
      </c>
      <c r="G112" s="431">
        <v>1.1399999999999999E-5</v>
      </c>
      <c r="H112" s="458">
        <v>12400</v>
      </c>
      <c r="I112" s="432">
        <v>8.9099999999999997E-8</v>
      </c>
      <c r="J112" s="433">
        <v>13</v>
      </c>
      <c r="K112" s="435">
        <v>8.1400000000000001E-8</v>
      </c>
      <c r="L112" s="433">
        <v>13.2</v>
      </c>
      <c r="M112" s="435">
        <v>5.9699999999999999E-8</v>
      </c>
      <c r="N112" s="433">
        <v>10.9</v>
      </c>
    </row>
    <row r="113" spans="1:14">
      <c r="A113" s="434" t="s">
        <v>1065</v>
      </c>
      <c r="B113" s="431" t="s">
        <v>1066</v>
      </c>
      <c r="C113" s="431" t="s">
        <v>1067</v>
      </c>
      <c r="D113" s="431" t="s">
        <v>1031</v>
      </c>
      <c r="E113" s="431">
        <v>2.8999999999999998E-7</v>
      </c>
      <c r="F113" s="433">
        <v>11.6</v>
      </c>
      <c r="G113" s="431">
        <v>5.0999999999999999E-7</v>
      </c>
      <c r="H113" s="458">
        <v>5560</v>
      </c>
      <c r="I113" s="432">
        <v>7.4200000000000003E-8</v>
      </c>
      <c r="J113" s="433">
        <v>10.8</v>
      </c>
      <c r="K113" s="435">
        <v>3.0199999999999999E-8</v>
      </c>
      <c r="L113" s="433">
        <v>4900</v>
      </c>
      <c r="M113" s="435">
        <v>7.8299999999999996E-9</v>
      </c>
      <c r="N113" s="433">
        <v>1430</v>
      </c>
    </row>
    <row r="114" spans="1:14">
      <c r="A114" s="434" t="s">
        <v>1068</v>
      </c>
      <c r="B114" s="431" t="s">
        <v>1069</v>
      </c>
      <c r="C114" s="431" t="s">
        <v>1070</v>
      </c>
      <c r="D114" s="431" t="s">
        <v>820</v>
      </c>
      <c r="E114" s="431">
        <v>4.7199999999999999E-7</v>
      </c>
      <c r="F114" s="433">
        <v>1890</v>
      </c>
      <c r="G114" s="431">
        <v>4.8E-8</v>
      </c>
      <c r="H114" s="458">
        <v>523</v>
      </c>
      <c r="I114" s="432">
        <v>6.9500000000000002E-9</v>
      </c>
      <c r="J114" s="433">
        <v>1020</v>
      </c>
      <c r="K114" s="435">
        <v>6.6599999999999997E-10</v>
      </c>
      <c r="L114" s="433">
        <v>108</v>
      </c>
      <c r="M114" s="435">
        <v>3.9900000000000002E-10</v>
      </c>
      <c r="N114" s="433">
        <v>73</v>
      </c>
    </row>
    <row r="115" spans="1:14">
      <c r="A115" s="434" t="s">
        <v>1071</v>
      </c>
      <c r="B115" s="431" t="s">
        <v>1072</v>
      </c>
      <c r="C115" s="431" t="s">
        <v>1073</v>
      </c>
      <c r="D115" s="431" t="s">
        <v>1031</v>
      </c>
      <c r="E115" s="431">
        <v>2.2199999999999999E-6</v>
      </c>
      <c r="F115" s="433">
        <v>8900</v>
      </c>
      <c r="G115" s="431">
        <v>5.9200000000000001E-6</v>
      </c>
      <c r="H115" s="458">
        <v>6450</v>
      </c>
      <c r="I115" s="432">
        <v>6.1500000000000001E-8</v>
      </c>
      <c r="J115" s="433">
        <v>8980</v>
      </c>
      <c r="K115" s="435">
        <v>4.2200000000000001E-8</v>
      </c>
      <c r="L115" s="433">
        <v>6850</v>
      </c>
      <c r="M115" s="435">
        <v>1.9799999999999999E-8</v>
      </c>
      <c r="N115" s="433">
        <v>3630</v>
      </c>
    </row>
    <row r="116" spans="1:14">
      <c r="A116" s="434" t="s">
        <v>1074</v>
      </c>
      <c r="B116" s="431" t="s">
        <v>1075</v>
      </c>
      <c r="C116" s="431" t="s">
        <v>805</v>
      </c>
      <c r="D116" s="431" t="s">
        <v>1028</v>
      </c>
      <c r="E116" s="431">
        <v>5.2999999999999998E-8</v>
      </c>
      <c r="F116" s="433">
        <v>2120</v>
      </c>
      <c r="G116" s="431">
        <v>5.3499999999999996E-7</v>
      </c>
      <c r="H116" s="458">
        <v>583</v>
      </c>
      <c r="I116" s="432">
        <v>7.3600000000000002E-9</v>
      </c>
      <c r="J116" s="433">
        <v>1080</v>
      </c>
      <c r="K116" s="435">
        <v>7.1400000000000002E-10</v>
      </c>
      <c r="L116" s="433">
        <v>116</v>
      </c>
      <c r="M116" s="435">
        <v>4.4400000000000002E-10</v>
      </c>
      <c r="N116" s="433">
        <v>81</v>
      </c>
    </row>
    <row r="117" spans="1:14">
      <c r="A117" s="434" t="s">
        <v>745</v>
      </c>
      <c r="B117" s="431" t="s">
        <v>1076</v>
      </c>
      <c r="C117" s="431" t="s">
        <v>837</v>
      </c>
      <c r="D117" s="431" t="s">
        <v>1077</v>
      </c>
      <c r="E117" s="431">
        <v>4.4900000000000001E-7</v>
      </c>
      <c r="F117" s="433">
        <v>1800</v>
      </c>
      <c r="G117" s="431">
        <v>4.4999999999999999E-8</v>
      </c>
      <c r="H117" s="458">
        <v>491</v>
      </c>
      <c r="I117" s="432">
        <v>5.62E-9</v>
      </c>
      <c r="J117" s="433">
        <v>822</v>
      </c>
      <c r="K117" s="435">
        <v>5.7199999999999999E-10</v>
      </c>
      <c r="L117" s="433">
        <v>93</v>
      </c>
      <c r="M117" s="435">
        <v>3.73E-10</v>
      </c>
      <c r="N117" s="433">
        <v>68</v>
      </c>
    </row>
    <row r="118" spans="1:14">
      <c r="A118" s="434" t="s">
        <v>1078</v>
      </c>
      <c r="B118" s="431" t="s">
        <v>1079</v>
      </c>
      <c r="C118" s="431" t="s">
        <v>1080</v>
      </c>
      <c r="D118" s="431" t="s">
        <v>1081</v>
      </c>
      <c r="E118" s="431">
        <v>2.4200000000000001E-6</v>
      </c>
      <c r="F118" s="433">
        <v>9710</v>
      </c>
      <c r="G118" s="431">
        <v>3.89E-6</v>
      </c>
      <c r="H118" s="458">
        <v>4240</v>
      </c>
      <c r="I118" s="432">
        <v>6.0300000000000004E-8</v>
      </c>
      <c r="J118" s="433">
        <v>8820</v>
      </c>
      <c r="K118" s="435">
        <v>2.1000000000000002E-9</v>
      </c>
      <c r="L118" s="433">
        <v>3400</v>
      </c>
      <c r="M118" s="435">
        <v>4.9799999999999998E-9</v>
      </c>
      <c r="N118" s="433">
        <v>912</v>
      </c>
    </row>
    <row r="119" spans="1:14">
      <c r="A119" s="434" t="s">
        <v>736</v>
      </c>
      <c r="B119" s="431" t="s">
        <v>1082</v>
      </c>
      <c r="C119" s="431" t="s">
        <v>1083</v>
      </c>
      <c r="D119" s="431" t="s">
        <v>1084</v>
      </c>
      <c r="E119" s="431">
        <v>1.39E-6</v>
      </c>
      <c r="F119" s="433">
        <v>5550</v>
      </c>
      <c r="G119" s="431">
        <v>1.64E-6</v>
      </c>
      <c r="H119" s="458">
        <v>1790</v>
      </c>
      <c r="I119" s="432">
        <v>2.9300000000000001E-8</v>
      </c>
      <c r="J119" s="433">
        <v>4280</v>
      </c>
      <c r="K119" s="435">
        <v>4.6399999999999997E-9</v>
      </c>
      <c r="L119" s="433">
        <v>753</v>
      </c>
      <c r="M119" s="435">
        <v>1.4200000000000001E-9</v>
      </c>
      <c r="N119" s="433">
        <v>260</v>
      </c>
    </row>
    <row r="120" spans="1:14">
      <c r="A120" s="434" t="s">
        <v>1085</v>
      </c>
      <c r="B120" s="431" t="s">
        <v>1086</v>
      </c>
      <c r="C120" s="431" t="s">
        <v>1087</v>
      </c>
      <c r="D120" s="431" t="s">
        <v>1021</v>
      </c>
      <c r="E120" s="431">
        <v>8.3500000000000005E-7</v>
      </c>
      <c r="F120" s="433">
        <v>3350</v>
      </c>
      <c r="G120" s="431">
        <v>8.9800000000000002E-7</v>
      </c>
      <c r="H120" s="458">
        <v>979</v>
      </c>
      <c r="I120" s="432">
        <v>1.5300000000000001E-8</v>
      </c>
      <c r="J120" s="433">
        <v>2240</v>
      </c>
      <c r="K120" s="435">
        <v>1.68E-9</v>
      </c>
      <c r="L120" s="433">
        <v>273</v>
      </c>
      <c r="M120" s="435">
        <v>7.5399999999999998E-10</v>
      </c>
      <c r="N120" s="433">
        <v>138</v>
      </c>
    </row>
    <row r="121" spans="1:14">
      <c r="A121" s="434" t="s">
        <v>1088</v>
      </c>
      <c r="B121" s="431" t="s">
        <v>1089</v>
      </c>
      <c r="C121" s="431" t="s">
        <v>1090</v>
      </c>
      <c r="D121" s="431" t="s">
        <v>1091</v>
      </c>
      <c r="E121" s="431">
        <v>5.8999999999999999E-8</v>
      </c>
      <c r="F121" s="433">
        <v>2360</v>
      </c>
      <c r="G121" s="431">
        <v>6E-9</v>
      </c>
      <c r="H121" s="458">
        <v>654</v>
      </c>
      <c r="I121" s="432">
        <v>8.7700000000000001E-9</v>
      </c>
      <c r="J121" s="433">
        <v>1280</v>
      </c>
      <c r="K121" s="435">
        <v>8.3999999999999994E-11</v>
      </c>
      <c r="L121" s="433">
        <v>136</v>
      </c>
      <c r="M121" s="435">
        <v>4.9900000000000003E-10</v>
      </c>
      <c r="N121" s="433">
        <v>91</v>
      </c>
    </row>
    <row r="122" spans="1:14">
      <c r="A122" s="434" t="s">
        <v>1092</v>
      </c>
      <c r="B122" s="431" t="s">
        <v>1093</v>
      </c>
      <c r="C122" s="431" t="s">
        <v>1094</v>
      </c>
      <c r="D122" s="431" t="s">
        <v>894</v>
      </c>
      <c r="E122" s="431">
        <v>7.2200000000000003E-7</v>
      </c>
      <c r="F122" s="433">
        <v>2900</v>
      </c>
      <c r="G122" s="431">
        <v>7.5899999999999995E-7</v>
      </c>
      <c r="H122" s="458">
        <v>828</v>
      </c>
      <c r="I122" s="432">
        <v>1.2499999999999999E-8</v>
      </c>
      <c r="J122" s="433">
        <v>1820</v>
      </c>
      <c r="K122" s="435">
        <v>1.27E-9</v>
      </c>
      <c r="L122" s="433">
        <v>206</v>
      </c>
      <c r="M122" s="435">
        <v>6.3499999999999998E-10</v>
      </c>
      <c r="N122" s="433">
        <v>116</v>
      </c>
    </row>
    <row r="123" spans="1:14">
      <c r="A123" s="434" t="s">
        <v>1095</v>
      </c>
      <c r="B123" s="431" t="s">
        <v>1096</v>
      </c>
      <c r="C123" s="431" t="s">
        <v>1097</v>
      </c>
      <c r="D123" s="431" t="s">
        <v>1021</v>
      </c>
      <c r="E123" s="431">
        <v>7.2500000000000005E-7</v>
      </c>
      <c r="F123" s="433">
        <v>2910</v>
      </c>
      <c r="G123" s="431">
        <v>7.4499999999999996E-7</v>
      </c>
      <c r="H123" s="458">
        <v>812</v>
      </c>
      <c r="I123" s="432">
        <v>1.15E-8</v>
      </c>
      <c r="J123" s="433">
        <v>1670</v>
      </c>
      <c r="K123" s="435">
        <v>1.0999999999999999E-10</v>
      </c>
      <c r="L123" s="433">
        <v>179</v>
      </c>
      <c r="M123" s="435">
        <v>6.2100000000000003E-10</v>
      </c>
      <c r="N123" s="433">
        <v>114</v>
      </c>
    </row>
    <row r="124" spans="1:14">
      <c r="A124" s="434" t="s">
        <v>1098</v>
      </c>
      <c r="B124" s="431" t="s">
        <v>1099</v>
      </c>
      <c r="C124" s="431" t="s">
        <v>969</v>
      </c>
      <c r="D124" s="431" t="s">
        <v>984</v>
      </c>
      <c r="E124" s="432">
        <v>1.7199999999999999E-8</v>
      </c>
      <c r="F124" s="433">
        <v>69</v>
      </c>
      <c r="G124" s="432">
        <v>1.7199999999999999E-8</v>
      </c>
      <c r="H124" s="458">
        <v>19</v>
      </c>
      <c r="I124" s="432">
        <v>1.42E-10</v>
      </c>
      <c r="J124" s="433">
        <v>21</v>
      </c>
      <c r="K124" s="435">
        <v>1.9500000000000001E-11</v>
      </c>
      <c r="L124" s="433">
        <v>3</v>
      </c>
      <c r="M124" s="435">
        <v>1.42E-11</v>
      </c>
      <c r="N124" s="433">
        <v>3</v>
      </c>
    </row>
    <row r="125" spans="1:14">
      <c r="A125" s="434" t="s">
        <v>1100</v>
      </c>
      <c r="B125" s="431" t="s">
        <v>1101</v>
      </c>
      <c r="C125" s="431" t="s">
        <v>1102</v>
      </c>
      <c r="D125" s="431" t="s">
        <v>856</v>
      </c>
      <c r="E125" s="431">
        <v>2.7599999999999998E-7</v>
      </c>
      <c r="F125" s="433">
        <v>1110</v>
      </c>
      <c r="G125" s="431">
        <v>2.7599999999999998E-7</v>
      </c>
      <c r="H125" s="458">
        <v>301</v>
      </c>
      <c r="I125" s="432">
        <v>2.9899999999999998E-9</v>
      </c>
      <c r="J125" s="433">
        <v>438</v>
      </c>
      <c r="K125" s="435">
        <v>3.3399999999999998E-10</v>
      </c>
      <c r="L125" s="433">
        <v>54</v>
      </c>
      <c r="M125" s="435">
        <v>2.2799999999999999E-10</v>
      </c>
      <c r="N125" s="433">
        <v>42</v>
      </c>
    </row>
    <row r="126" spans="1:14">
      <c r="A126" s="434" t="s">
        <v>1103</v>
      </c>
      <c r="B126" s="431" t="s">
        <v>1104</v>
      </c>
      <c r="C126" s="431" t="s">
        <v>1105</v>
      </c>
      <c r="D126" s="431" t="s">
        <v>844</v>
      </c>
      <c r="E126" s="432">
        <v>1.2199999999999999E-9</v>
      </c>
      <c r="F126" s="433">
        <v>5</v>
      </c>
      <c r="G126" s="432">
        <v>1.2199999999999999E-9</v>
      </c>
      <c r="H126" s="458">
        <v>1</v>
      </c>
      <c r="I126" s="431">
        <v>970</v>
      </c>
      <c r="J126" s="433">
        <v>1</v>
      </c>
      <c r="K126" s="433">
        <v>130</v>
      </c>
      <c r="L126" s="433" t="s">
        <v>816</v>
      </c>
      <c r="M126" s="433">
        <v>900</v>
      </c>
      <c r="N126" s="433" t="s">
        <v>816</v>
      </c>
    </row>
    <row r="127" spans="1:14">
      <c r="A127" s="434" t="s">
        <v>1106</v>
      </c>
      <c r="B127" s="431" t="s">
        <v>1107</v>
      </c>
      <c r="C127" s="431" t="s">
        <v>843</v>
      </c>
      <c r="D127" s="431" t="s">
        <v>838</v>
      </c>
      <c r="E127" s="432">
        <v>2.7000000000000002E-9</v>
      </c>
      <c r="F127" s="433">
        <v>108</v>
      </c>
      <c r="G127" s="432">
        <v>2.7000000000000002E-9</v>
      </c>
      <c r="H127" s="458">
        <v>29</v>
      </c>
      <c r="I127" s="432">
        <v>2.25E-10</v>
      </c>
      <c r="J127" s="433">
        <v>33</v>
      </c>
      <c r="K127" s="435">
        <v>3.0600000000000003E-11</v>
      </c>
      <c r="L127" s="433">
        <v>5</v>
      </c>
      <c r="M127" s="435">
        <v>2.2200000000000002E-11</v>
      </c>
      <c r="N127" s="433">
        <v>4</v>
      </c>
    </row>
    <row r="128" spans="1:14">
      <c r="A128" s="434" t="s">
        <v>1108</v>
      </c>
      <c r="B128" s="431" t="s">
        <v>1109</v>
      </c>
      <c r="C128" s="431" t="s">
        <v>1110</v>
      </c>
      <c r="D128" s="431" t="s">
        <v>826</v>
      </c>
      <c r="E128" s="432">
        <v>3.5700000000000001E-10</v>
      </c>
      <c r="F128" s="433">
        <v>1</v>
      </c>
      <c r="G128" s="432">
        <v>3.5700000000000001E-10</v>
      </c>
      <c r="H128" s="458" t="s">
        <v>816</v>
      </c>
      <c r="I128" s="431">
        <v>280</v>
      </c>
      <c r="J128" s="433" t="s">
        <v>816</v>
      </c>
      <c r="K128" s="433">
        <v>400</v>
      </c>
      <c r="L128" s="433" t="s">
        <v>816</v>
      </c>
      <c r="M128" s="433">
        <v>200</v>
      </c>
      <c r="N128" s="433" t="s">
        <v>816</v>
      </c>
    </row>
    <row r="129" spans="1:14">
      <c r="A129" s="434" t="s">
        <v>1111</v>
      </c>
      <c r="B129" s="431" t="s">
        <v>1112</v>
      </c>
      <c r="C129" s="431" t="s">
        <v>1113</v>
      </c>
      <c r="D129" s="431" t="s">
        <v>1114</v>
      </c>
      <c r="E129" s="431">
        <v>1.68E-6</v>
      </c>
      <c r="F129" s="433">
        <v>6720</v>
      </c>
      <c r="G129" s="431">
        <v>2.8100000000000002E-6</v>
      </c>
      <c r="H129" s="458">
        <v>3070</v>
      </c>
      <c r="I129" s="432">
        <v>4.2300000000000002E-8</v>
      </c>
      <c r="J129" s="433">
        <v>6180</v>
      </c>
      <c r="K129" s="435">
        <v>1.59E-8</v>
      </c>
      <c r="L129" s="433">
        <v>2580</v>
      </c>
      <c r="M129" s="435">
        <v>3.9300000000000003E-9</v>
      </c>
      <c r="N129" s="433">
        <v>718</v>
      </c>
    </row>
    <row r="130" spans="1:14">
      <c r="A130" s="434" t="s">
        <v>1115</v>
      </c>
      <c r="B130" s="431" t="s">
        <v>1116</v>
      </c>
      <c r="C130" s="431" t="s">
        <v>1117</v>
      </c>
      <c r="D130" s="431" t="s">
        <v>1031</v>
      </c>
      <c r="E130" s="431">
        <v>1.48E-6</v>
      </c>
      <c r="F130" s="433">
        <v>5940</v>
      </c>
      <c r="G130" s="431">
        <v>2.3999999999999998E-7</v>
      </c>
      <c r="H130" s="458">
        <v>2620</v>
      </c>
      <c r="I130" s="432">
        <v>3.7E-9</v>
      </c>
      <c r="J130" s="433">
        <v>5410</v>
      </c>
      <c r="K130" s="435">
        <v>1.31E-8</v>
      </c>
      <c r="L130" s="433">
        <v>2130</v>
      </c>
      <c r="M130" s="435">
        <v>3.1399999999999999E-9</v>
      </c>
      <c r="N130" s="433">
        <v>575</v>
      </c>
    </row>
    <row r="131" spans="1:14">
      <c r="A131" s="434" t="s">
        <v>1118</v>
      </c>
      <c r="B131" s="431" t="s">
        <v>1119</v>
      </c>
      <c r="C131" s="431" t="s">
        <v>1087</v>
      </c>
      <c r="D131" s="431" t="s">
        <v>1031</v>
      </c>
      <c r="E131" s="431">
        <v>7.9299999999999997E-7</v>
      </c>
      <c r="F131" s="433">
        <v>3180</v>
      </c>
      <c r="G131" s="431">
        <v>8.5199999999999995E-7</v>
      </c>
      <c r="H131" s="458">
        <v>929</v>
      </c>
      <c r="I131" s="432">
        <v>1.4500000000000001E-8</v>
      </c>
      <c r="J131" s="433">
        <v>2120</v>
      </c>
      <c r="K131" s="435">
        <v>1.5999999999999999E-10</v>
      </c>
      <c r="L131" s="433">
        <v>259</v>
      </c>
      <c r="M131" s="435">
        <v>7.1600000000000001E-10</v>
      </c>
      <c r="N131" s="433">
        <v>131</v>
      </c>
    </row>
    <row r="132" spans="1:14">
      <c r="A132" s="434" t="s">
        <v>746</v>
      </c>
      <c r="B132" s="431" t="s">
        <v>1120</v>
      </c>
      <c r="C132" s="431" t="s">
        <v>1121</v>
      </c>
      <c r="D132" s="431" t="s">
        <v>1019</v>
      </c>
      <c r="E132" s="431">
        <v>1.98E-7</v>
      </c>
      <c r="F132" s="433">
        <v>795</v>
      </c>
      <c r="G132" s="431">
        <v>1.98E-7</v>
      </c>
      <c r="H132" s="458">
        <v>216</v>
      </c>
      <c r="I132" s="432">
        <v>2.0599999999999999E-9</v>
      </c>
      <c r="J132" s="433">
        <v>302</v>
      </c>
      <c r="K132" s="435">
        <v>2.3700000000000001E-10</v>
      </c>
      <c r="L132" s="433">
        <v>38</v>
      </c>
      <c r="M132" s="435">
        <v>1.64E-10</v>
      </c>
      <c r="N132" s="433">
        <v>30</v>
      </c>
    </row>
    <row r="133" spans="1:14">
      <c r="A133" s="434" t="s">
        <v>1122</v>
      </c>
      <c r="B133" s="431" t="s">
        <v>1123</v>
      </c>
      <c r="C133" s="431" t="s">
        <v>946</v>
      </c>
      <c r="D133" s="431" t="s">
        <v>1124</v>
      </c>
      <c r="E133" s="431">
        <v>4.7800000000000002E-7</v>
      </c>
      <c r="F133" s="433">
        <v>1910</v>
      </c>
      <c r="G133" s="431">
        <v>4.8599999999999998E-7</v>
      </c>
      <c r="H133" s="458">
        <v>530</v>
      </c>
      <c r="I133" s="432">
        <v>7.1799999999999996E-9</v>
      </c>
      <c r="J133" s="433">
        <v>1050</v>
      </c>
      <c r="K133" s="435">
        <v>6.8700000000000001E-10</v>
      </c>
      <c r="L133" s="433">
        <v>111</v>
      </c>
      <c r="M133" s="435">
        <v>4.05E-10</v>
      </c>
      <c r="N133" s="433">
        <v>74</v>
      </c>
    </row>
    <row r="134" spans="1:14">
      <c r="A134" s="434" t="s">
        <v>1125</v>
      </c>
      <c r="B134" s="431" t="s">
        <v>1126</v>
      </c>
      <c r="C134" s="431" t="s">
        <v>1094</v>
      </c>
      <c r="D134" s="431" t="s">
        <v>1077</v>
      </c>
      <c r="E134" s="431">
        <v>7.4499999999999996E-7</v>
      </c>
      <c r="F134" s="433">
        <v>2990</v>
      </c>
      <c r="G134" s="431">
        <v>7.8299999999999996E-7</v>
      </c>
      <c r="H134" s="458">
        <v>854</v>
      </c>
      <c r="I134" s="432">
        <v>1.29E-8</v>
      </c>
      <c r="J134" s="433">
        <v>1880</v>
      </c>
      <c r="K134" s="435">
        <v>1.31E-9</v>
      </c>
      <c r="L134" s="433">
        <v>212</v>
      </c>
      <c r="M134" s="435">
        <v>6.5500000000000001E-10</v>
      </c>
      <c r="N134" s="433">
        <v>120</v>
      </c>
    </row>
    <row r="135" spans="1:14">
      <c r="A135" s="434" t="s">
        <v>1127</v>
      </c>
      <c r="B135" s="431" t="s">
        <v>1128</v>
      </c>
      <c r="C135" s="431" t="s">
        <v>1129</v>
      </c>
      <c r="D135" s="431" t="s">
        <v>1130</v>
      </c>
      <c r="E135" s="431">
        <v>7.8599999999999997E-7</v>
      </c>
      <c r="F135" s="433">
        <v>3150</v>
      </c>
      <c r="G135" s="431">
        <v>8.1500000000000003E-7</v>
      </c>
      <c r="H135" s="458">
        <v>889</v>
      </c>
      <c r="I135" s="432">
        <v>1.3000000000000001E-9</v>
      </c>
      <c r="J135" s="433">
        <v>1900</v>
      </c>
      <c r="K135" s="435">
        <v>1.27E-9</v>
      </c>
      <c r="L135" s="433">
        <v>206</v>
      </c>
      <c r="M135" s="435">
        <v>6.8100000000000003E-10</v>
      </c>
      <c r="N135" s="433">
        <v>124</v>
      </c>
    </row>
    <row r="136" spans="1:14">
      <c r="A136" s="434" t="s">
        <v>1131</v>
      </c>
      <c r="B136" s="431" t="s">
        <v>1132</v>
      </c>
      <c r="C136" s="431" t="s">
        <v>1133</v>
      </c>
      <c r="D136" s="431" t="s">
        <v>1019</v>
      </c>
      <c r="E136" s="431">
        <v>3.3200000000000001E-7</v>
      </c>
      <c r="F136" s="433">
        <v>1330</v>
      </c>
      <c r="G136" s="431">
        <v>3.3299999999999998E-7</v>
      </c>
      <c r="H136" s="458">
        <v>363</v>
      </c>
      <c r="I136" s="432">
        <v>4.2700000000000004E-9</v>
      </c>
      <c r="J136" s="433">
        <v>624</v>
      </c>
      <c r="K136" s="435">
        <v>4.2800000000000002E-10</v>
      </c>
      <c r="L136" s="433">
        <v>69</v>
      </c>
      <c r="M136" s="435">
        <v>2.7599999999999998E-10</v>
      </c>
      <c r="N136" s="433">
        <v>51</v>
      </c>
    </row>
    <row r="137" spans="1:14">
      <c r="A137" s="434" t="s">
        <v>1134</v>
      </c>
      <c r="B137" s="431" t="s">
        <v>1135</v>
      </c>
      <c r="C137" s="431" t="s">
        <v>1136</v>
      </c>
      <c r="D137" s="431" t="s">
        <v>981</v>
      </c>
      <c r="E137" s="431">
        <v>3.53E-7</v>
      </c>
      <c r="F137" s="433">
        <v>1410</v>
      </c>
      <c r="G137" s="431">
        <v>3.5499999999999999E-7</v>
      </c>
      <c r="H137" s="458">
        <v>387</v>
      </c>
      <c r="I137" s="432">
        <v>4.6000000000000001E-10</v>
      </c>
      <c r="J137" s="433">
        <v>673</v>
      </c>
      <c r="K137" s="435">
        <v>4.5800000000000002E-10</v>
      </c>
      <c r="L137" s="433">
        <v>74</v>
      </c>
      <c r="M137" s="435">
        <v>2.9400000000000002E-10</v>
      </c>
      <c r="N137" s="433">
        <v>54</v>
      </c>
    </row>
    <row r="138" spans="1:14" ht="20.399999999999999" customHeight="1">
      <c r="A138" s="434" t="s">
        <v>1137</v>
      </c>
      <c r="B138" s="431" t="s">
        <v>1138</v>
      </c>
      <c r="C138" s="442" t="s">
        <v>1139</v>
      </c>
      <c r="D138" s="431" t="s">
        <v>950</v>
      </c>
      <c r="E138" s="432">
        <v>1.5399999999999999E-8</v>
      </c>
      <c r="F138" s="433">
        <v>62</v>
      </c>
      <c r="G138" s="432">
        <v>1.5399999999999999E-8</v>
      </c>
      <c r="H138" s="458">
        <v>17</v>
      </c>
      <c r="I138" s="432">
        <v>1.26E-10</v>
      </c>
      <c r="J138" s="433">
        <v>18</v>
      </c>
      <c r="K138" s="435">
        <v>1.7399999999999999E-11</v>
      </c>
      <c r="L138" s="433">
        <v>3</v>
      </c>
      <c r="M138" s="435">
        <v>1.26E-11</v>
      </c>
      <c r="N138" s="433">
        <v>2</v>
      </c>
    </row>
    <row r="139" spans="1:14">
      <c r="A139" s="434" t="s">
        <v>1140</v>
      </c>
      <c r="B139" s="431" t="s">
        <v>1141</v>
      </c>
      <c r="C139" s="431" t="s">
        <v>1142</v>
      </c>
      <c r="D139" s="431" t="s">
        <v>1143</v>
      </c>
      <c r="E139" s="431">
        <v>6.4000000000000004E-8</v>
      </c>
      <c r="F139" s="433">
        <v>2560</v>
      </c>
      <c r="G139" s="431">
        <v>6.5899999999999996E-7</v>
      </c>
      <c r="H139" s="458">
        <v>719</v>
      </c>
      <c r="I139" s="432">
        <v>1.03E-8</v>
      </c>
      <c r="J139" s="433">
        <v>1500</v>
      </c>
      <c r="K139" s="435">
        <v>9.9699999999999997E-10</v>
      </c>
      <c r="L139" s="433">
        <v>162</v>
      </c>
      <c r="M139" s="435">
        <v>5.4999999999999997E-11</v>
      </c>
      <c r="N139" s="433">
        <v>101</v>
      </c>
    </row>
    <row r="140" spans="1:14">
      <c r="A140" s="434" t="s">
        <v>1144</v>
      </c>
      <c r="B140" s="431" t="s">
        <v>1145</v>
      </c>
      <c r="C140" s="431" t="s">
        <v>837</v>
      </c>
      <c r="D140" s="431" t="s">
        <v>1146</v>
      </c>
      <c r="E140" s="431">
        <v>4.08E-7</v>
      </c>
      <c r="F140" s="433">
        <v>1640</v>
      </c>
      <c r="G140" s="431">
        <v>4.0900000000000002E-7</v>
      </c>
      <c r="H140" s="458">
        <v>446</v>
      </c>
      <c r="I140" s="432">
        <v>5.1099999999999999E-9</v>
      </c>
      <c r="J140" s="433">
        <v>747</v>
      </c>
      <c r="K140" s="435">
        <v>5.2000000000000001E-11</v>
      </c>
      <c r="L140" s="433">
        <v>84</v>
      </c>
      <c r="M140" s="435">
        <v>3.3900000000000002E-10</v>
      </c>
      <c r="N140" s="433">
        <v>62</v>
      </c>
    </row>
    <row r="141" spans="1:14">
      <c r="A141" s="434" t="s">
        <v>1147</v>
      </c>
      <c r="B141" s="431" t="s">
        <v>1148</v>
      </c>
      <c r="C141" s="431" t="s">
        <v>1136</v>
      </c>
      <c r="D141" s="431" t="s">
        <v>1019</v>
      </c>
      <c r="E141" s="431">
        <v>3.77E-7</v>
      </c>
      <c r="F141" s="433">
        <v>1510</v>
      </c>
      <c r="G141" s="431">
        <v>3.7899999999999999E-7</v>
      </c>
      <c r="H141" s="458">
        <v>413</v>
      </c>
      <c r="I141" s="432">
        <v>4.9099999999999998E-9</v>
      </c>
      <c r="J141" s="433">
        <v>718</v>
      </c>
      <c r="K141" s="435">
        <v>4.8899999999999997E-10</v>
      </c>
      <c r="L141" s="433">
        <v>79</v>
      </c>
      <c r="M141" s="435">
        <v>3.14E-10</v>
      </c>
      <c r="N141" s="433">
        <v>57</v>
      </c>
    </row>
    <row r="142" spans="1:14">
      <c r="A142" s="434" t="s">
        <v>1149</v>
      </c>
      <c r="B142" s="431" t="s">
        <v>1150</v>
      </c>
      <c r="C142" s="431" t="s">
        <v>1151</v>
      </c>
      <c r="D142" s="431" t="s">
        <v>972</v>
      </c>
      <c r="E142" s="432">
        <v>1.2499999999999999E-8</v>
      </c>
      <c r="F142" s="433">
        <v>50</v>
      </c>
      <c r="G142" s="432">
        <v>1.2499999999999999E-8</v>
      </c>
      <c r="H142" s="458">
        <v>14</v>
      </c>
      <c r="I142" s="432">
        <v>1.02E-10</v>
      </c>
      <c r="J142" s="433">
        <v>15</v>
      </c>
      <c r="K142" s="435">
        <v>1.41E-11</v>
      </c>
      <c r="L142" s="433">
        <v>2</v>
      </c>
      <c r="M142" s="435">
        <v>1.0199999999999999E-11</v>
      </c>
      <c r="N142" s="433">
        <v>2</v>
      </c>
    </row>
    <row r="143" spans="1:14">
      <c r="A143" s="434" t="s">
        <v>1152</v>
      </c>
      <c r="B143" s="431" t="s">
        <v>1153</v>
      </c>
      <c r="C143" s="431" t="s">
        <v>1154</v>
      </c>
      <c r="D143" s="431" t="s">
        <v>1155</v>
      </c>
      <c r="E143" s="432">
        <v>8.5099999999999996E-10</v>
      </c>
      <c r="F143" s="433">
        <v>3</v>
      </c>
      <c r="G143" s="432">
        <v>8.5099999999999996E-10</v>
      </c>
      <c r="H143" s="458" t="s">
        <v>816</v>
      </c>
      <c r="I143" s="432">
        <v>6.8000000000000003E-13</v>
      </c>
      <c r="J143" s="433" t="s">
        <v>816</v>
      </c>
      <c r="K143" s="433">
        <v>900</v>
      </c>
      <c r="L143" s="433" t="s">
        <v>816</v>
      </c>
      <c r="M143" s="433">
        <v>600</v>
      </c>
      <c r="N143" s="433" t="s">
        <v>816</v>
      </c>
    </row>
    <row r="144" spans="1:14">
      <c r="A144" s="434" t="s">
        <v>1156</v>
      </c>
      <c r="B144" s="431" t="s">
        <v>1157</v>
      </c>
      <c r="C144" s="431" t="s">
        <v>1158</v>
      </c>
      <c r="D144" s="431" t="s">
        <v>1159</v>
      </c>
      <c r="E144" s="432">
        <v>5.3500000000000003E-8</v>
      </c>
      <c r="F144" s="433">
        <v>215</v>
      </c>
      <c r="G144" s="432">
        <v>5.3500000000000003E-8</v>
      </c>
      <c r="H144" s="458">
        <v>58</v>
      </c>
      <c r="I144" s="432">
        <v>4.5299999999999999E-10</v>
      </c>
      <c r="J144" s="433">
        <v>66</v>
      </c>
      <c r="K144" s="435">
        <v>6.1000000000000003E-12</v>
      </c>
      <c r="L144" s="433">
        <v>10</v>
      </c>
      <c r="M144" s="435">
        <v>4.3999999999999998E-12</v>
      </c>
      <c r="N144" s="433">
        <v>8</v>
      </c>
    </row>
    <row r="145" spans="1:14">
      <c r="A145" s="434" t="s">
        <v>1160</v>
      </c>
      <c r="B145" s="431" t="s">
        <v>1161</v>
      </c>
      <c r="C145" s="431" t="s">
        <v>946</v>
      </c>
      <c r="D145" s="431" t="s">
        <v>981</v>
      </c>
      <c r="E145" s="431">
        <v>5.6499999999999999E-7</v>
      </c>
      <c r="F145" s="433">
        <v>2260</v>
      </c>
      <c r="G145" s="431">
        <v>5.75E-7</v>
      </c>
      <c r="H145" s="458">
        <v>627</v>
      </c>
      <c r="I145" s="432">
        <v>8.4800000000000005E-9</v>
      </c>
      <c r="J145" s="433">
        <v>1240</v>
      </c>
      <c r="K145" s="435">
        <v>8.1199999999999999E-10</v>
      </c>
      <c r="L145" s="433">
        <v>132</v>
      </c>
      <c r="M145" s="435">
        <v>4.79E-10</v>
      </c>
      <c r="N145" s="433">
        <v>88</v>
      </c>
    </row>
    <row r="146" spans="1:14">
      <c r="A146" s="434" t="s">
        <v>1162</v>
      </c>
      <c r="B146" s="431" t="s">
        <v>1163</v>
      </c>
      <c r="C146" s="431" t="s">
        <v>904</v>
      </c>
      <c r="D146" s="431" t="s">
        <v>916</v>
      </c>
      <c r="E146" s="432">
        <v>1.7300000000000001E-11</v>
      </c>
      <c r="F146" s="433" t="s">
        <v>816</v>
      </c>
      <c r="G146" s="432">
        <v>1.7300000000000001E-11</v>
      </c>
      <c r="H146" s="458" t="s">
        <v>816</v>
      </c>
      <c r="I146" s="431">
        <v>100</v>
      </c>
      <c r="J146" s="433" t="s">
        <v>816</v>
      </c>
      <c r="K146" s="433">
        <v>512</v>
      </c>
      <c r="L146" s="433" t="s">
        <v>816</v>
      </c>
      <c r="M146" s="433">
        <v>512</v>
      </c>
      <c r="N146" s="433" t="s">
        <v>816</v>
      </c>
    </row>
    <row r="147" spans="1:14">
      <c r="A147" s="434" t="s">
        <v>1164</v>
      </c>
      <c r="B147" s="443" t="s">
        <v>1165</v>
      </c>
      <c r="C147" s="431" t="s">
        <v>969</v>
      </c>
      <c r="D147" s="431" t="s">
        <v>835</v>
      </c>
      <c r="E147" s="432">
        <v>1.18E-8</v>
      </c>
      <c r="F147" s="433">
        <v>47</v>
      </c>
      <c r="G147" s="432">
        <v>1.18E-8</v>
      </c>
      <c r="H147" s="458">
        <v>13</v>
      </c>
      <c r="I147" s="432">
        <v>9.67E-11</v>
      </c>
      <c r="J147" s="433">
        <v>14</v>
      </c>
      <c r="K147" s="435">
        <v>1.33E-11</v>
      </c>
      <c r="L147" s="433">
        <v>2</v>
      </c>
      <c r="M147" s="433">
        <v>960</v>
      </c>
      <c r="N147" s="433">
        <v>2</v>
      </c>
    </row>
    <row r="148" spans="1:14">
      <c r="A148" s="434" t="s">
        <v>1166</v>
      </c>
      <c r="B148" s="431" t="s">
        <v>1167</v>
      </c>
      <c r="C148" s="431" t="s">
        <v>1168</v>
      </c>
      <c r="D148" s="431" t="s">
        <v>1169</v>
      </c>
      <c r="E148" s="431">
        <v>2E-8</v>
      </c>
      <c r="F148" s="433">
        <v>8010</v>
      </c>
      <c r="G148" s="431">
        <v>2.5799999999999999E-6</v>
      </c>
      <c r="H148" s="458">
        <v>2820</v>
      </c>
      <c r="I148" s="432">
        <v>4.5200000000000001E-8</v>
      </c>
      <c r="J148" s="433">
        <v>6600</v>
      </c>
      <c r="K148" s="435">
        <v>9.46E-9</v>
      </c>
      <c r="L148" s="433">
        <v>1530</v>
      </c>
      <c r="M148" s="435">
        <v>2.3800000000000001E-9</v>
      </c>
      <c r="N148" s="433">
        <v>436</v>
      </c>
    </row>
    <row r="149" spans="1:14">
      <c r="A149" s="434" t="s">
        <v>1170</v>
      </c>
      <c r="B149" s="431" t="s">
        <v>1171</v>
      </c>
      <c r="C149" s="431" t="s">
        <v>1172</v>
      </c>
      <c r="D149" s="431" t="s">
        <v>1021</v>
      </c>
      <c r="E149" s="431">
        <v>3.8000000000000003E-8</v>
      </c>
      <c r="F149" s="433">
        <v>1530</v>
      </c>
      <c r="G149" s="431">
        <v>3.8599999999999999E-7</v>
      </c>
      <c r="H149" s="458">
        <v>421</v>
      </c>
      <c r="I149" s="432">
        <v>5.5400000000000003E-9</v>
      </c>
      <c r="J149" s="433">
        <v>809</v>
      </c>
      <c r="K149" s="435">
        <v>5.3200000000000002E-10</v>
      </c>
      <c r="L149" s="433">
        <v>86</v>
      </c>
      <c r="M149" s="435">
        <v>3.2099999999999998E-10</v>
      </c>
      <c r="N149" s="433">
        <v>59</v>
      </c>
    </row>
    <row r="150" spans="1:14">
      <c r="A150" s="434" t="s">
        <v>1173</v>
      </c>
      <c r="B150" s="431" t="s">
        <v>1174</v>
      </c>
      <c r="C150" s="431" t="s">
        <v>1172</v>
      </c>
      <c r="D150" s="431" t="s">
        <v>1077</v>
      </c>
      <c r="E150" s="431">
        <v>4.39E-7</v>
      </c>
      <c r="F150" s="433">
        <v>1760</v>
      </c>
      <c r="G150" s="431">
        <v>4.4499999999999997E-7</v>
      </c>
      <c r="H150" s="458">
        <v>486</v>
      </c>
      <c r="I150" s="432">
        <v>6.3899999999999996E-9</v>
      </c>
      <c r="J150" s="433">
        <v>934</v>
      </c>
      <c r="K150" s="435">
        <v>6.1400000000000005E-10</v>
      </c>
      <c r="L150" s="433">
        <v>99</v>
      </c>
      <c r="M150" s="435">
        <v>3.7000000000000001E-11</v>
      </c>
      <c r="N150" s="433">
        <v>68</v>
      </c>
    </row>
    <row r="151" spans="1:14">
      <c r="A151" s="434" t="s">
        <v>1175</v>
      </c>
      <c r="B151" s="431" t="s">
        <v>1176</v>
      </c>
      <c r="C151" s="431" t="s">
        <v>1172</v>
      </c>
      <c r="D151" s="431" t="s">
        <v>1124</v>
      </c>
      <c r="E151" s="431">
        <v>3.6800000000000001E-7</v>
      </c>
      <c r="F151" s="433">
        <v>1480</v>
      </c>
      <c r="G151" s="431">
        <v>3.7300000000000002E-7</v>
      </c>
      <c r="H151" s="458">
        <v>407</v>
      </c>
      <c r="I151" s="432">
        <v>5.3499999999999999E-9</v>
      </c>
      <c r="J151" s="433">
        <v>783</v>
      </c>
      <c r="K151" s="435">
        <v>5.1399999999999998E-10</v>
      </c>
      <c r="L151" s="433">
        <v>83</v>
      </c>
      <c r="M151" s="435">
        <v>3.1000000000000003E-11</v>
      </c>
      <c r="N151" s="433">
        <v>57</v>
      </c>
    </row>
    <row r="152" spans="1:14">
      <c r="A152" s="434" t="s">
        <v>1177</v>
      </c>
      <c r="B152" s="431" t="s">
        <v>1178</v>
      </c>
      <c r="C152" s="431" t="s">
        <v>965</v>
      </c>
      <c r="D152" s="431" t="s">
        <v>981</v>
      </c>
      <c r="E152" s="432">
        <v>5.2100000000000003E-8</v>
      </c>
      <c r="F152" s="433">
        <v>209</v>
      </c>
      <c r="G152" s="432">
        <v>5.2100000000000003E-8</v>
      </c>
      <c r="H152" s="458">
        <v>57</v>
      </c>
      <c r="I152" s="432">
        <v>4.5199999999999999E-10</v>
      </c>
      <c r="J152" s="433">
        <v>66</v>
      </c>
      <c r="K152" s="435">
        <v>5.9699999999999998E-11</v>
      </c>
      <c r="L152" s="433">
        <v>10</v>
      </c>
      <c r="M152" s="435">
        <v>4.2900000000000002E-11</v>
      </c>
      <c r="N152" s="433">
        <v>8</v>
      </c>
    </row>
    <row r="153" spans="1:14">
      <c r="A153" s="434" t="s">
        <v>1179</v>
      </c>
      <c r="B153" s="431" t="s">
        <v>1180</v>
      </c>
      <c r="C153" s="431" t="s">
        <v>965</v>
      </c>
      <c r="D153" s="431" t="s">
        <v>1181</v>
      </c>
      <c r="E153" s="432">
        <v>5.9200000000000001E-8</v>
      </c>
      <c r="F153" s="433">
        <v>237</v>
      </c>
      <c r="G153" s="432">
        <v>5.9200000000000001E-8</v>
      </c>
      <c r="H153" s="458">
        <v>65</v>
      </c>
      <c r="I153" s="432">
        <v>5.1399999999999998E-10</v>
      </c>
      <c r="J153" s="433">
        <v>75</v>
      </c>
      <c r="K153" s="435">
        <v>6.7800000000000001E-11</v>
      </c>
      <c r="L153" s="433">
        <v>11</v>
      </c>
      <c r="M153" s="435">
        <v>4.8699999999999997E-11</v>
      </c>
      <c r="N153" s="433">
        <v>9</v>
      </c>
    </row>
    <row r="154" spans="1:14">
      <c r="A154" s="434" t="s">
        <v>1182</v>
      </c>
      <c r="B154" s="431" t="s">
        <v>1183</v>
      </c>
      <c r="C154" s="431" t="s">
        <v>965</v>
      </c>
      <c r="D154" s="431" t="s">
        <v>866</v>
      </c>
      <c r="E154" s="432">
        <v>4.06E-8</v>
      </c>
      <c r="F154" s="433">
        <v>163</v>
      </c>
      <c r="G154" s="432">
        <v>4.06E-8</v>
      </c>
      <c r="H154" s="458">
        <v>44</v>
      </c>
      <c r="I154" s="432">
        <v>3.5200000000000003E-10</v>
      </c>
      <c r="J154" s="433">
        <v>52</v>
      </c>
      <c r="K154" s="435">
        <v>4.6500000000000001E-11</v>
      </c>
      <c r="L154" s="433">
        <v>8</v>
      </c>
      <c r="M154" s="435">
        <v>3.3400000000000002E-11</v>
      </c>
      <c r="N154" s="433">
        <v>6</v>
      </c>
    </row>
    <row r="155" spans="1:14">
      <c r="A155" s="434" t="s">
        <v>1184</v>
      </c>
      <c r="B155" s="431" t="s">
        <v>1185</v>
      </c>
      <c r="C155" s="431" t="s">
        <v>1186</v>
      </c>
      <c r="D155" s="431" t="s">
        <v>1187</v>
      </c>
      <c r="E155" s="431">
        <v>2.7499999999999999E-6</v>
      </c>
      <c r="F155" s="433">
        <v>11</v>
      </c>
      <c r="G155" s="431">
        <v>4.9100000000000004E-6</v>
      </c>
      <c r="H155" s="458">
        <v>5350</v>
      </c>
      <c r="I155" s="432">
        <v>7.0599999999999997E-8</v>
      </c>
      <c r="J155" s="433">
        <v>10.3</v>
      </c>
      <c r="K155" s="435">
        <v>2.9399999999999999E-8</v>
      </c>
      <c r="L155" s="433">
        <v>4770</v>
      </c>
      <c r="M155" s="435">
        <v>7.7499999999999999E-9</v>
      </c>
      <c r="N155" s="433">
        <v>1420</v>
      </c>
    </row>
    <row r="156" spans="1:14">
      <c r="A156" s="434" t="s">
        <v>1188</v>
      </c>
      <c r="B156" s="431" t="s">
        <v>1189</v>
      </c>
      <c r="C156" s="431" t="s">
        <v>1190</v>
      </c>
      <c r="D156" s="431" t="s">
        <v>1191</v>
      </c>
      <c r="E156" s="431">
        <v>2.1E-7</v>
      </c>
      <c r="F156" s="433">
        <v>8430</v>
      </c>
      <c r="G156" s="431">
        <v>2.6699999999999998E-6</v>
      </c>
      <c r="H156" s="458">
        <v>2910</v>
      </c>
      <c r="I156" s="432">
        <v>4.6900000000000003E-8</v>
      </c>
      <c r="J156" s="433">
        <v>6860</v>
      </c>
      <c r="K156" s="435">
        <v>9.2799999999999994E-9</v>
      </c>
      <c r="L156" s="433">
        <v>1500</v>
      </c>
      <c r="M156" s="435">
        <v>2.4199999999999999E-9</v>
      </c>
      <c r="N156" s="433">
        <v>442</v>
      </c>
    </row>
    <row r="157" spans="1:14">
      <c r="A157" s="434" t="s">
        <v>1192</v>
      </c>
      <c r="B157" s="431" t="s">
        <v>1193</v>
      </c>
      <c r="C157" s="431" t="s">
        <v>811</v>
      </c>
      <c r="D157" s="431" t="s">
        <v>856</v>
      </c>
      <c r="E157" s="431">
        <v>1.67E-7</v>
      </c>
      <c r="F157" s="433">
        <v>668</v>
      </c>
      <c r="G157" s="431">
        <v>1.67E-7</v>
      </c>
      <c r="H157" s="458">
        <v>182</v>
      </c>
      <c r="I157" s="432">
        <v>1.6600000000000001E-9</v>
      </c>
      <c r="J157" s="433">
        <v>243</v>
      </c>
      <c r="K157" s="435">
        <v>1.9699999999999999E-10</v>
      </c>
      <c r="L157" s="433">
        <v>32</v>
      </c>
      <c r="M157" s="435">
        <v>1.3799999999999999E-10</v>
      </c>
      <c r="N157" s="433">
        <v>25</v>
      </c>
    </row>
    <row r="158" spans="1:14" ht="20.399999999999999" customHeight="1">
      <c r="A158" s="434" t="s">
        <v>1194</v>
      </c>
      <c r="B158" s="442" t="s">
        <v>1195</v>
      </c>
      <c r="C158" s="431" t="s">
        <v>1190</v>
      </c>
      <c r="D158" s="431" t="s">
        <v>1196</v>
      </c>
      <c r="E158" s="431">
        <v>1.9700000000000002E-6</v>
      </c>
      <c r="F158" s="433">
        <v>7900</v>
      </c>
      <c r="G158" s="431">
        <v>2.4999999999999999E-7</v>
      </c>
      <c r="H158" s="458">
        <v>2730</v>
      </c>
      <c r="I158" s="432">
        <v>4.3999999999999997E-9</v>
      </c>
      <c r="J158" s="433">
        <v>6430</v>
      </c>
      <c r="K158" s="435">
        <v>8.6999999999999999E-10</v>
      </c>
      <c r="L158" s="433">
        <v>1410</v>
      </c>
      <c r="M158" s="435">
        <v>2.2699999999999998E-9</v>
      </c>
      <c r="N158" s="433">
        <v>415</v>
      </c>
    </row>
    <row r="159" spans="1:14" ht="17.399999999999999" customHeight="1">
      <c r="A159" s="434" t="s">
        <v>1197</v>
      </c>
      <c r="B159" s="442" t="s">
        <v>1198</v>
      </c>
      <c r="C159" s="431" t="s">
        <v>1190</v>
      </c>
      <c r="D159" s="431" t="s">
        <v>1199</v>
      </c>
      <c r="E159" s="431">
        <v>2.0600000000000002E-6</v>
      </c>
      <c r="F159" s="433">
        <v>8270</v>
      </c>
      <c r="G159" s="431">
        <v>2.6199999999999999E-6</v>
      </c>
      <c r="H159" s="458">
        <v>2850</v>
      </c>
      <c r="I159" s="432">
        <v>4.5999999999999998E-9</v>
      </c>
      <c r="J159" s="433">
        <v>6730</v>
      </c>
      <c r="K159" s="435">
        <v>9.0999999999999996E-10</v>
      </c>
      <c r="L159" s="433">
        <v>1480</v>
      </c>
      <c r="M159" s="435">
        <v>2.3699999999999999E-9</v>
      </c>
      <c r="N159" s="433">
        <v>434</v>
      </c>
    </row>
    <row r="160" spans="1:14">
      <c r="A160" s="434" t="s">
        <v>1200</v>
      </c>
      <c r="B160" s="431" t="s">
        <v>1201</v>
      </c>
      <c r="C160" s="431" t="s">
        <v>1186</v>
      </c>
      <c r="D160" s="431" t="s">
        <v>1202</v>
      </c>
      <c r="E160" s="431">
        <v>2.7300000000000001E-6</v>
      </c>
      <c r="F160" s="433">
        <v>10.9</v>
      </c>
      <c r="G160" s="431">
        <v>4.8600000000000001E-6</v>
      </c>
      <c r="H160" s="458">
        <v>5300</v>
      </c>
      <c r="I160" s="432">
        <v>6.9999999999999996E-10</v>
      </c>
      <c r="J160" s="433">
        <v>10.199999999999999</v>
      </c>
      <c r="K160" s="435">
        <v>2.9099999999999999E-8</v>
      </c>
      <c r="L160" s="433">
        <v>4730</v>
      </c>
      <c r="M160" s="435">
        <v>7.6799999999999999E-9</v>
      </c>
      <c r="N160" s="433">
        <v>1400</v>
      </c>
    </row>
    <row r="161" spans="1:14">
      <c r="A161" s="434" t="s">
        <v>1203</v>
      </c>
      <c r="B161" s="431" t="s">
        <v>1204</v>
      </c>
      <c r="C161" s="431" t="s">
        <v>1168</v>
      </c>
      <c r="D161" s="431" t="s">
        <v>1205</v>
      </c>
      <c r="E161" s="431">
        <v>2.7599999999999998E-6</v>
      </c>
      <c r="F161" s="433">
        <v>11.1</v>
      </c>
      <c r="G161" s="431">
        <v>3.5700000000000001E-6</v>
      </c>
      <c r="H161" s="458">
        <v>3890</v>
      </c>
      <c r="I161" s="432">
        <v>6.2299999999999995E-8</v>
      </c>
      <c r="J161" s="433">
        <v>9110</v>
      </c>
      <c r="K161" s="435">
        <v>1.31E-8</v>
      </c>
      <c r="L161" s="433">
        <v>2120</v>
      </c>
      <c r="M161" s="435">
        <v>3.29E-9</v>
      </c>
      <c r="N161" s="433">
        <v>602</v>
      </c>
    </row>
    <row r="162" spans="1:14">
      <c r="A162" s="434" t="s">
        <v>1206</v>
      </c>
      <c r="B162" s="431" t="s">
        <v>1207</v>
      </c>
      <c r="C162" s="431" t="s">
        <v>1186</v>
      </c>
      <c r="D162" s="431" t="s">
        <v>1208</v>
      </c>
      <c r="E162" s="431">
        <v>3.7699999999999999E-6</v>
      </c>
      <c r="F162" s="433">
        <v>15.1</v>
      </c>
      <c r="G162" s="431">
        <v>6.7299999999999999E-6</v>
      </c>
      <c r="H162" s="458">
        <v>7330</v>
      </c>
      <c r="I162" s="432">
        <v>9.6800000000000007E-8</v>
      </c>
      <c r="J162" s="433">
        <v>14.1</v>
      </c>
      <c r="K162" s="435">
        <v>4.0299999999999997E-8</v>
      </c>
      <c r="L162" s="433">
        <v>6530</v>
      </c>
      <c r="M162" s="435">
        <v>1.0600000000000001E-8</v>
      </c>
      <c r="N162" s="433">
        <v>1940</v>
      </c>
    </row>
    <row r="163" spans="1:14">
      <c r="A163" s="434" t="s">
        <v>1209</v>
      </c>
      <c r="B163" s="431" t="s">
        <v>1210</v>
      </c>
      <c r="C163" s="431" t="s">
        <v>965</v>
      </c>
      <c r="D163" s="431" t="s">
        <v>1211</v>
      </c>
      <c r="E163" s="432">
        <v>5.5600000000000002E-8</v>
      </c>
      <c r="F163" s="433">
        <v>223</v>
      </c>
      <c r="G163" s="432">
        <v>5.5600000000000002E-8</v>
      </c>
      <c r="H163" s="458">
        <v>61</v>
      </c>
      <c r="I163" s="432">
        <v>4.8000000000000002E-11</v>
      </c>
      <c r="J163" s="433">
        <v>70</v>
      </c>
      <c r="K163" s="435">
        <v>6.3600000000000005E-11</v>
      </c>
      <c r="L163" s="433">
        <v>10</v>
      </c>
      <c r="M163" s="435">
        <v>4.5700000000000001E-11</v>
      </c>
      <c r="N163" s="433">
        <v>8</v>
      </c>
    </row>
    <row r="164" spans="1:14">
      <c r="A164" s="434" t="s">
        <v>1212</v>
      </c>
      <c r="B164" s="431" t="s">
        <v>1213</v>
      </c>
      <c r="C164" s="431" t="s">
        <v>1214</v>
      </c>
      <c r="D164" s="431" t="s">
        <v>1215</v>
      </c>
      <c r="E164" s="432">
        <v>4.97E-11</v>
      </c>
      <c r="F164" s="433" t="s">
        <v>816</v>
      </c>
      <c r="G164" s="432">
        <v>4.97E-11</v>
      </c>
      <c r="H164" s="458" t="s">
        <v>816</v>
      </c>
      <c r="I164" s="431">
        <v>300</v>
      </c>
      <c r="J164" s="433" t="s">
        <v>816</v>
      </c>
      <c r="K164" s="433">
        <v>512</v>
      </c>
      <c r="L164" s="433" t="s">
        <v>816</v>
      </c>
      <c r="M164" s="433">
        <v>512</v>
      </c>
      <c r="N164" s="433" t="s">
        <v>816</v>
      </c>
    </row>
    <row r="165" spans="1:14">
      <c r="A165" s="434" t="s">
        <v>1216</v>
      </c>
      <c r="B165" s="431" t="s">
        <v>1217</v>
      </c>
      <c r="C165" s="431" t="s">
        <v>1218</v>
      </c>
      <c r="D165" s="431" t="s">
        <v>1219</v>
      </c>
      <c r="E165" s="431">
        <v>7.6799999999999999E-7</v>
      </c>
      <c r="F165" s="433">
        <v>3080</v>
      </c>
      <c r="G165" s="431">
        <v>7.9899999999999999E-7</v>
      </c>
      <c r="H165" s="458">
        <v>871</v>
      </c>
      <c r="I165" s="432">
        <v>1.29E-8</v>
      </c>
      <c r="J165" s="433">
        <v>1880</v>
      </c>
      <c r="K165" s="435">
        <v>1.2799999999999999E-9</v>
      </c>
      <c r="L165" s="433">
        <v>207</v>
      </c>
      <c r="M165" s="435">
        <v>6.6799999999999997E-10</v>
      </c>
      <c r="N165" s="433">
        <v>122</v>
      </c>
    </row>
    <row r="166" spans="1:14">
      <c r="A166" s="434" t="s">
        <v>1220</v>
      </c>
      <c r="B166" s="431" t="s">
        <v>1221</v>
      </c>
      <c r="C166" s="431" t="s">
        <v>792</v>
      </c>
      <c r="D166" s="431" t="s">
        <v>1222</v>
      </c>
      <c r="E166" s="432">
        <v>5.0899999999999999E-8</v>
      </c>
      <c r="F166" s="433">
        <v>204</v>
      </c>
      <c r="G166" s="432">
        <v>5.0899999999999999E-8</v>
      </c>
      <c r="H166" s="458">
        <v>56</v>
      </c>
      <c r="I166" s="432">
        <v>4.5299999999999999E-10</v>
      </c>
      <c r="J166" s="433">
        <v>66</v>
      </c>
      <c r="K166" s="435">
        <v>5.8599999999999997E-11</v>
      </c>
      <c r="L166" s="433">
        <v>10</v>
      </c>
      <c r="M166" s="435">
        <v>4.1899999999999999E-11</v>
      </c>
      <c r="N166" s="433">
        <v>8</v>
      </c>
    </row>
    <row r="167" spans="1:14">
      <c r="A167" s="434" t="s">
        <v>1223</v>
      </c>
      <c r="B167" s="431" t="s">
        <v>1224</v>
      </c>
      <c r="C167" s="431" t="s">
        <v>1225</v>
      </c>
      <c r="D167" s="431" t="s">
        <v>1226</v>
      </c>
      <c r="E167" s="432">
        <v>1.15E-8</v>
      </c>
      <c r="F167" s="433">
        <v>46</v>
      </c>
      <c r="G167" s="432">
        <v>1.15E-8</v>
      </c>
      <c r="H167" s="458">
        <v>13</v>
      </c>
      <c r="I167" s="432">
        <v>9.3399999999999995E-11</v>
      </c>
      <c r="J167" s="433">
        <v>14</v>
      </c>
      <c r="K167" s="435">
        <v>1.2999999999999999E-12</v>
      </c>
      <c r="L167" s="433">
        <v>2</v>
      </c>
      <c r="M167" s="433">
        <v>940</v>
      </c>
      <c r="N167" s="433">
        <v>2</v>
      </c>
    </row>
    <row r="168" spans="1:14">
      <c r="A168" s="434" t="s">
        <v>1227</v>
      </c>
      <c r="B168" s="431" t="s">
        <v>1228</v>
      </c>
      <c r="C168" s="431" t="s">
        <v>1229</v>
      </c>
      <c r="D168" s="431" t="s">
        <v>1230</v>
      </c>
      <c r="E168" s="431">
        <v>1.3199999999999999E-7</v>
      </c>
      <c r="F168" s="433">
        <v>528</v>
      </c>
      <c r="G168" s="431">
        <v>1.3199999999999999E-7</v>
      </c>
      <c r="H168" s="458">
        <v>144</v>
      </c>
      <c r="I168" s="432">
        <v>1.1800000000000001E-9</v>
      </c>
      <c r="J168" s="433">
        <v>173</v>
      </c>
      <c r="K168" s="435">
        <v>1.5199999999999999E-10</v>
      </c>
      <c r="L168" s="433">
        <v>25</v>
      </c>
      <c r="M168" s="435">
        <v>1.08E-10</v>
      </c>
      <c r="N168" s="433">
        <v>20</v>
      </c>
    </row>
    <row r="169" spans="1:14">
      <c r="A169" s="434" t="s">
        <v>1231</v>
      </c>
      <c r="B169" s="431" t="s">
        <v>1232</v>
      </c>
      <c r="C169" s="431" t="s">
        <v>1233</v>
      </c>
      <c r="D169" s="431" t="s">
        <v>1234</v>
      </c>
      <c r="E169" s="431">
        <v>1.2E-8</v>
      </c>
      <c r="F169" s="433">
        <v>479</v>
      </c>
      <c r="G169" s="431">
        <v>1.2E-8</v>
      </c>
      <c r="H169" s="458">
        <v>130</v>
      </c>
      <c r="I169" s="432">
        <v>1.0500000000000001E-9</v>
      </c>
      <c r="J169" s="433">
        <v>153</v>
      </c>
      <c r="K169" s="435">
        <v>1.3699999999999999E-10</v>
      </c>
      <c r="L169" s="433">
        <v>22</v>
      </c>
      <c r="M169" s="435">
        <v>9.8400000000000004E-11</v>
      </c>
      <c r="N169" s="433">
        <v>18</v>
      </c>
    </row>
    <row r="170" spans="1:14">
      <c r="A170" s="434" t="s">
        <v>1235</v>
      </c>
      <c r="B170" s="431" t="s">
        <v>1236</v>
      </c>
      <c r="C170" s="431" t="s">
        <v>1237</v>
      </c>
      <c r="D170" s="431" t="s">
        <v>1238</v>
      </c>
      <c r="E170" s="431">
        <v>5.6499999999999999E-7</v>
      </c>
      <c r="F170" s="433">
        <v>2260</v>
      </c>
      <c r="G170" s="431">
        <v>5.6599999999999996E-7</v>
      </c>
      <c r="H170" s="458">
        <v>617</v>
      </c>
      <c r="I170" s="432">
        <v>6.8800000000000002E-9</v>
      </c>
      <c r="J170" s="433">
        <v>1010</v>
      </c>
      <c r="K170" s="435">
        <v>7.1100000000000003E-10</v>
      </c>
      <c r="L170" s="433">
        <v>115</v>
      </c>
      <c r="M170" s="435">
        <v>4.6900000000000003E-10</v>
      </c>
      <c r="N170" s="433">
        <v>86</v>
      </c>
    </row>
    <row r="171" spans="1:14">
      <c r="A171" s="434" t="s">
        <v>1239</v>
      </c>
      <c r="B171" s="431" t="s">
        <v>1240</v>
      </c>
      <c r="C171" s="431" t="s">
        <v>1241</v>
      </c>
      <c r="D171" s="431" t="s">
        <v>1242</v>
      </c>
      <c r="E171" s="431">
        <v>6.8199999999999999E-7</v>
      </c>
      <c r="F171" s="433">
        <v>2730</v>
      </c>
      <c r="G171" s="431">
        <v>6.8899999999999999E-7</v>
      </c>
      <c r="H171" s="458">
        <v>751</v>
      </c>
      <c r="I171" s="432">
        <v>9.5900000000000002E-9</v>
      </c>
      <c r="J171" s="433">
        <v>1400</v>
      </c>
      <c r="K171" s="435">
        <v>9.27E-10</v>
      </c>
      <c r="L171" s="433">
        <v>150</v>
      </c>
      <c r="M171" s="435">
        <v>5.7199999999999999E-10</v>
      </c>
      <c r="N171" s="433">
        <v>105</v>
      </c>
    </row>
    <row r="172" spans="1:14">
      <c r="A172" s="434" t="s">
        <v>1243</v>
      </c>
      <c r="B172" s="431" t="s">
        <v>1244</v>
      </c>
      <c r="C172" s="431" t="s">
        <v>1245</v>
      </c>
      <c r="D172" s="431" t="s">
        <v>978</v>
      </c>
      <c r="E172" s="431">
        <v>2.03E-7</v>
      </c>
      <c r="F172" s="433">
        <v>815</v>
      </c>
      <c r="G172" s="431">
        <v>2.03E-7</v>
      </c>
      <c r="H172" s="458">
        <v>222</v>
      </c>
      <c r="I172" s="432">
        <v>2.0599999999999999E-9</v>
      </c>
      <c r="J172" s="433">
        <v>301</v>
      </c>
      <c r="K172" s="435">
        <v>2.4199999999999999E-10</v>
      </c>
      <c r="L172" s="433">
        <v>39</v>
      </c>
      <c r="M172" s="435">
        <v>1.6799999999999999E-10</v>
      </c>
      <c r="N172" s="433">
        <v>31</v>
      </c>
    </row>
    <row r="173" spans="1:14">
      <c r="A173" s="434" t="s">
        <v>1246</v>
      </c>
      <c r="B173" s="431" t="s">
        <v>1247</v>
      </c>
      <c r="C173" s="431" t="s">
        <v>1245</v>
      </c>
      <c r="D173" s="431" t="s">
        <v>1043</v>
      </c>
      <c r="E173" s="431">
        <v>2.16E-7</v>
      </c>
      <c r="F173" s="433">
        <v>868</v>
      </c>
      <c r="G173" s="431">
        <v>2.16E-7</v>
      </c>
      <c r="H173" s="458">
        <v>236</v>
      </c>
      <c r="I173" s="432">
        <v>2.1900000000000001E-9</v>
      </c>
      <c r="J173" s="433">
        <v>320</v>
      </c>
      <c r="K173" s="435">
        <v>2.5699999999999999E-10</v>
      </c>
      <c r="L173" s="433">
        <v>42</v>
      </c>
      <c r="M173" s="435">
        <v>1.79E-10</v>
      </c>
      <c r="N173" s="433">
        <v>33</v>
      </c>
    </row>
    <row r="174" spans="1:14">
      <c r="A174" s="434" t="s">
        <v>1248</v>
      </c>
      <c r="B174" s="431" t="s">
        <v>1249</v>
      </c>
      <c r="C174" s="431" t="s">
        <v>1245</v>
      </c>
      <c r="D174" s="431" t="s">
        <v>1250</v>
      </c>
      <c r="E174" s="431">
        <v>2.03E-7</v>
      </c>
      <c r="F174" s="433">
        <v>812</v>
      </c>
      <c r="G174" s="431">
        <v>2.03E-7</v>
      </c>
      <c r="H174" s="458">
        <v>221</v>
      </c>
      <c r="I174" s="432">
        <v>2.0500000000000002E-9</v>
      </c>
      <c r="J174" s="433">
        <v>299</v>
      </c>
      <c r="K174" s="435">
        <v>2.4099999999999999E-10</v>
      </c>
      <c r="L174" s="433">
        <v>39</v>
      </c>
      <c r="M174" s="435">
        <v>1.6699999999999999E-10</v>
      </c>
      <c r="N174" s="433">
        <v>31</v>
      </c>
    </row>
    <row r="175" spans="1:14">
      <c r="A175" s="434" t="s">
        <v>1251</v>
      </c>
      <c r="B175" s="431" t="s">
        <v>1252</v>
      </c>
      <c r="C175" s="431" t="s">
        <v>1253</v>
      </c>
      <c r="D175" s="431" t="s">
        <v>1046</v>
      </c>
      <c r="E175" s="431">
        <v>1.79E-6</v>
      </c>
      <c r="F175" s="433">
        <v>7170</v>
      </c>
      <c r="G175" s="431">
        <v>4.1699999999999999E-6</v>
      </c>
      <c r="H175" s="458">
        <v>4550</v>
      </c>
      <c r="I175" s="432">
        <v>4.8499999999999998E-8</v>
      </c>
      <c r="J175" s="433">
        <v>7090</v>
      </c>
      <c r="K175" s="435">
        <v>2.8900000000000001E-8</v>
      </c>
      <c r="L175" s="433">
        <v>4690</v>
      </c>
      <c r="M175" s="435">
        <v>1.1199999999999999E-8</v>
      </c>
      <c r="N175" s="433">
        <v>2040</v>
      </c>
    </row>
    <row r="176" spans="1:14">
      <c r="A176" s="434" t="s">
        <v>1254</v>
      </c>
      <c r="B176" s="431" t="s">
        <v>1255</v>
      </c>
      <c r="C176" s="431" t="s">
        <v>1256</v>
      </c>
      <c r="D176" s="431" t="s">
        <v>1257</v>
      </c>
      <c r="E176" s="432">
        <v>3.9099999999999999E-10</v>
      </c>
      <c r="F176" s="433">
        <v>2</v>
      </c>
      <c r="G176" s="432">
        <v>3.9099999999999999E-10</v>
      </c>
      <c r="H176" s="458" t="s">
        <v>816</v>
      </c>
      <c r="I176" s="431">
        <v>310</v>
      </c>
      <c r="J176" s="433" t="s">
        <v>816</v>
      </c>
      <c r="K176" s="433">
        <v>400</v>
      </c>
      <c r="L176" s="433" t="s">
        <v>816</v>
      </c>
      <c r="M176" s="433">
        <v>300</v>
      </c>
      <c r="N176" s="433" t="s">
        <v>816</v>
      </c>
    </row>
    <row r="177" spans="1:14">
      <c r="A177" s="434" t="s">
        <v>1258</v>
      </c>
      <c r="B177" s="431" t="s">
        <v>1259</v>
      </c>
      <c r="C177" s="431" t="s">
        <v>1256</v>
      </c>
      <c r="D177" s="431" t="s">
        <v>890</v>
      </c>
      <c r="E177" s="432">
        <v>3.0000000000000001E-12</v>
      </c>
      <c r="F177" s="433">
        <v>1</v>
      </c>
      <c r="G177" s="432">
        <v>3.0000000000000001E-12</v>
      </c>
      <c r="H177" s="458" t="s">
        <v>816</v>
      </c>
      <c r="I177" s="432">
        <v>2.3999999999999999E-13</v>
      </c>
      <c r="J177" s="433" t="s">
        <v>816</v>
      </c>
      <c r="K177" s="433">
        <v>300</v>
      </c>
      <c r="L177" s="433" t="s">
        <v>816</v>
      </c>
      <c r="M177" s="433">
        <v>200</v>
      </c>
      <c r="N177" s="433" t="s">
        <v>816</v>
      </c>
    </row>
    <row r="178" spans="1:14">
      <c r="A178" s="434" t="s">
        <v>1260</v>
      </c>
      <c r="B178" s="431" t="s">
        <v>1261</v>
      </c>
      <c r="C178" s="431" t="s">
        <v>1256</v>
      </c>
      <c r="D178" s="431" t="s">
        <v>1155</v>
      </c>
      <c r="E178" s="432">
        <v>1.72E-10</v>
      </c>
      <c r="F178" s="433" t="s">
        <v>816</v>
      </c>
      <c r="G178" s="432">
        <v>1.72E-10</v>
      </c>
      <c r="H178" s="458" t="s">
        <v>816</v>
      </c>
      <c r="I178" s="431">
        <v>130</v>
      </c>
      <c r="J178" s="433" t="s">
        <v>816</v>
      </c>
      <c r="K178" s="433">
        <v>100</v>
      </c>
      <c r="L178" s="433" t="s">
        <v>816</v>
      </c>
      <c r="M178" s="433">
        <v>100</v>
      </c>
      <c r="N178" s="433" t="s">
        <v>816</v>
      </c>
    </row>
    <row r="179" spans="1:14">
      <c r="A179" s="434" t="s">
        <v>1262</v>
      </c>
      <c r="B179" s="431" t="s">
        <v>1263</v>
      </c>
      <c r="C179" s="431" t="s">
        <v>1264</v>
      </c>
      <c r="D179" s="431" t="s">
        <v>1265</v>
      </c>
      <c r="E179" s="431">
        <v>1.12E-7</v>
      </c>
      <c r="F179" s="433">
        <v>449</v>
      </c>
      <c r="G179" s="431">
        <v>1.12E-7</v>
      </c>
      <c r="H179" s="458">
        <v>122</v>
      </c>
      <c r="I179" s="432">
        <v>1.0500000000000001E-9</v>
      </c>
      <c r="J179" s="433">
        <v>153</v>
      </c>
      <c r="K179" s="435">
        <v>1.3100000000000001E-10</v>
      </c>
      <c r="L179" s="433">
        <v>21</v>
      </c>
      <c r="M179" s="435">
        <v>9.2399999999999999E-11</v>
      </c>
      <c r="N179" s="433">
        <v>17</v>
      </c>
    </row>
    <row r="180" spans="1:14" ht="16.2" customHeight="1">
      <c r="A180" s="434" t="s">
        <v>1266</v>
      </c>
      <c r="B180" s="442" t="s">
        <v>1267</v>
      </c>
      <c r="C180" s="431" t="s">
        <v>1000</v>
      </c>
      <c r="D180" s="431" t="s">
        <v>1187</v>
      </c>
      <c r="E180" s="431">
        <v>1.8700000000000001E-6</v>
      </c>
      <c r="F180" s="433">
        <v>7500</v>
      </c>
      <c r="G180" s="431">
        <v>8.8999999999999995E-7</v>
      </c>
      <c r="H180" s="458">
        <v>9710</v>
      </c>
      <c r="I180" s="432">
        <v>5.5199999999999998E-8</v>
      </c>
      <c r="J180" s="433">
        <v>8070</v>
      </c>
      <c r="K180" s="435">
        <v>6.1099999999999998E-8</v>
      </c>
      <c r="L180" s="433">
        <v>9910</v>
      </c>
      <c r="M180" s="435">
        <v>6.1500000000000001E-8</v>
      </c>
      <c r="N180" s="433">
        <v>11.3</v>
      </c>
    </row>
    <row r="181" spans="1:14">
      <c r="A181" s="434" t="s">
        <v>1268</v>
      </c>
      <c r="B181" s="431" t="s">
        <v>1269</v>
      </c>
      <c r="C181" s="431" t="s">
        <v>1270</v>
      </c>
      <c r="D181" s="431" t="s">
        <v>826</v>
      </c>
      <c r="E181" s="432">
        <v>1.9200000000000001E-10</v>
      </c>
      <c r="F181" s="433" t="s">
        <v>816</v>
      </c>
      <c r="G181" s="432">
        <v>1.9200000000000001E-10</v>
      </c>
      <c r="H181" s="458" t="s">
        <v>816</v>
      </c>
      <c r="I181" s="431">
        <v>150</v>
      </c>
      <c r="J181" s="433" t="s">
        <v>816</v>
      </c>
      <c r="K181" s="433">
        <v>200</v>
      </c>
      <c r="L181" s="433" t="s">
        <v>816</v>
      </c>
      <c r="M181" s="433">
        <v>100</v>
      </c>
      <c r="N181" s="433" t="s">
        <v>816</v>
      </c>
    </row>
    <row r="182" spans="1:14">
      <c r="A182" s="434" t="s">
        <v>1271</v>
      </c>
      <c r="B182" s="431" t="s">
        <v>1272</v>
      </c>
      <c r="C182" s="431" t="s">
        <v>837</v>
      </c>
      <c r="D182" s="431" t="s">
        <v>1273</v>
      </c>
      <c r="E182" s="431">
        <v>5.37E-7</v>
      </c>
      <c r="F182" s="433">
        <v>2150</v>
      </c>
      <c r="G182" s="431">
        <v>5.3900000000000005E-7</v>
      </c>
      <c r="H182" s="458">
        <v>588</v>
      </c>
      <c r="I182" s="432">
        <v>6.7299999999999997E-9</v>
      </c>
      <c r="J182" s="433">
        <v>984</v>
      </c>
      <c r="K182" s="435">
        <v>6.8500000000000001E-10</v>
      </c>
      <c r="L182" s="433">
        <v>111</v>
      </c>
      <c r="M182" s="435">
        <v>4.4700000000000001E-10</v>
      </c>
      <c r="N182" s="433">
        <v>82</v>
      </c>
    </row>
    <row r="183" spans="1:14">
      <c r="A183" s="434" t="s">
        <v>1274</v>
      </c>
      <c r="B183" s="431" t="s">
        <v>1275</v>
      </c>
      <c r="C183" s="431" t="s">
        <v>837</v>
      </c>
      <c r="D183" s="431" t="s">
        <v>1276</v>
      </c>
      <c r="E183" s="431">
        <v>5.2999999999999998E-8</v>
      </c>
      <c r="F183" s="433">
        <v>2130</v>
      </c>
      <c r="G183" s="431">
        <v>5.3200000000000005E-7</v>
      </c>
      <c r="H183" s="458">
        <v>580</v>
      </c>
      <c r="I183" s="432">
        <v>6.6400000000000002E-9</v>
      </c>
      <c r="J183" s="433">
        <v>971</v>
      </c>
      <c r="K183" s="435">
        <v>6.7600000000000004E-10</v>
      </c>
      <c r="L183" s="433">
        <v>110</v>
      </c>
      <c r="M183" s="435">
        <v>4.4099999999999998E-10</v>
      </c>
      <c r="N183" s="433">
        <v>81</v>
      </c>
    </row>
    <row r="184" spans="1:14">
      <c r="A184" s="434" t="s">
        <v>1277</v>
      </c>
      <c r="B184" s="431" t="s">
        <v>1278</v>
      </c>
      <c r="C184" s="431" t="s">
        <v>889</v>
      </c>
      <c r="D184" s="431" t="s">
        <v>1279</v>
      </c>
      <c r="E184" s="431">
        <v>3.4499999999999998E-7</v>
      </c>
      <c r="F184" s="433">
        <v>1380</v>
      </c>
      <c r="G184" s="431">
        <v>3.4499999999999998E-7</v>
      </c>
      <c r="H184" s="458">
        <v>376</v>
      </c>
      <c r="I184" s="432">
        <v>3.7999999999999998E-10</v>
      </c>
      <c r="J184" s="433">
        <v>555</v>
      </c>
      <c r="K184" s="435">
        <v>4.19E-10</v>
      </c>
      <c r="L184" s="433">
        <v>68</v>
      </c>
      <c r="M184" s="435">
        <v>2.85E-10</v>
      </c>
      <c r="N184" s="433">
        <v>52</v>
      </c>
    </row>
    <row r="185" spans="1:14">
      <c r="A185" s="434" t="s">
        <v>1280</v>
      </c>
      <c r="B185" s="431" t="s">
        <v>1281</v>
      </c>
      <c r="C185" s="431" t="s">
        <v>1282</v>
      </c>
      <c r="D185" s="431" t="s">
        <v>1283</v>
      </c>
      <c r="E185" s="431">
        <v>3.5900000000000003E-7</v>
      </c>
      <c r="F185" s="433">
        <v>1440</v>
      </c>
      <c r="G185" s="431">
        <v>3.5900000000000003E-7</v>
      </c>
      <c r="H185" s="458">
        <v>392</v>
      </c>
      <c r="I185" s="432">
        <v>4.1899999999999998E-9</v>
      </c>
      <c r="J185" s="433">
        <v>613</v>
      </c>
      <c r="K185" s="435">
        <v>4.4500000000000001E-10</v>
      </c>
      <c r="L185" s="433">
        <v>72</v>
      </c>
      <c r="M185" s="435">
        <v>2.9700000000000001E-10</v>
      </c>
      <c r="N185" s="433">
        <v>54</v>
      </c>
    </row>
    <row r="186" spans="1:14">
      <c r="A186" s="434" t="s">
        <v>1284</v>
      </c>
      <c r="B186" s="431" t="s">
        <v>1285</v>
      </c>
      <c r="C186" s="431" t="s">
        <v>843</v>
      </c>
      <c r="D186" s="431" t="s">
        <v>1286</v>
      </c>
      <c r="E186" s="432">
        <v>3.0699999999999997E-8</v>
      </c>
      <c r="F186" s="433">
        <v>123</v>
      </c>
      <c r="G186" s="432">
        <v>3.0699999999999997E-8</v>
      </c>
      <c r="H186" s="458">
        <v>33</v>
      </c>
      <c r="I186" s="432">
        <v>2.55E-10</v>
      </c>
      <c r="J186" s="433">
        <v>37</v>
      </c>
      <c r="K186" s="435">
        <v>3.4799999999999999E-11</v>
      </c>
      <c r="L186" s="433">
        <v>6</v>
      </c>
      <c r="M186" s="435">
        <v>2.5200000000000001E-11</v>
      </c>
      <c r="N186" s="433">
        <v>5</v>
      </c>
    </row>
    <row r="187" spans="1:14">
      <c r="A187" s="434" t="s">
        <v>1287</v>
      </c>
      <c r="B187" s="431" t="s">
        <v>1288</v>
      </c>
      <c r="C187" s="431" t="s">
        <v>969</v>
      </c>
      <c r="D187" s="431" t="s">
        <v>1289</v>
      </c>
      <c r="E187" s="432">
        <v>1.6000000000000001E-9</v>
      </c>
      <c r="F187" s="433">
        <v>64</v>
      </c>
      <c r="G187" s="432">
        <v>1.6000000000000001E-9</v>
      </c>
      <c r="H187" s="458">
        <v>17</v>
      </c>
      <c r="I187" s="432">
        <v>1.3100000000000001E-10</v>
      </c>
      <c r="J187" s="433">
        <v>19</v>
      </c>
      <c r="K187" s="435">
        <v>1.8E-12</v>
      </c>
      <c r="L187" s="433">
        <v>3</v>
      </c>
      <c r="M187" s="435">
        <v>1.31E-11</v>
      </c>
      <c r="N187" s="433">
        <v>2</v>
      </c>
    </row>
    <row r="188" spans="1:14">
      <c r="A188" s="434" t="s">
        <v>1290</v>
      </c>
      <c r="B188" s="431" t="s">
        <v>1291</v>
      </c>
      <c r="C188" s="431" t="s">
        <v>875</v>
      </c>
      <c r="D188" s="431" t="s">
        <v>1181</v>
      </c>
      <c r="E188" s="431">
        <v>4.3000000000000001E-8</v>
      </c>
      <c r="F188" s="433">
        <v>1720</v>
      </c>
      <c r="G188" s="431">
        <v>4.3099999999999998E-7</v>
      </c>
      <c r="H188" s="458">
        <v>470</v>
      </c>
      <c r="I188" s="432">
        <v>5.1700000000000001E-9</v>
      </c>
      <c r="J188" s="433">
        <v>755</v>
      </c>
      <c r="K188" s="435">
        <v>5.39E-10</v>
      </c>
      <c r="L188" s="433">
        <v>87</v>
      </c>
      <c r="M188" s="435">
        <v>3.5700000000000001E-10</v>
      </c>
      <c r="N188" s="433">
        <v>65</v>
      </c>
    </row>
    <row r="189" spans="1:14">
      <c r="A189" s="434" t="s">
        <v>1292</v>
      </c>
      <c r="B189" s="431" t="s">
        <v>1293</v>
      </c>
      <c r="C189" s="431" t="s">
        <v>875</v>
      </c>
      <c r="D189" s="431" t="s">
        <v>1294</v>
      </c>
      <c r="E189" s="431">
        <v>3.0499999999999999E-7</v>
      </c>
      <c r="F189" s="433">
        <v>1220</v>
      </c>
      <c r="G189" s="431">
        <v>3.0499999999999999E-7</v>
      </c>
      <c r="H189" s="458">
        <v>333</v>
      </c>
      <c r="I189" s="432">
        <v>3.6600000000000002E-9</v>
      </c>
      <c r="J189" s="433">
        <v>535</v>
      </c>
      <c r="K189" s="435">
        <v>3.8099999999999998E-10</v>
      </c>
      <c r="L189" s="433">
        <v>62</v>
      </c>
      <c r="M189" s="435">
        <v>2.5300000000000001E-10</v>
      </c>
      <c r="N189" s="433">
        <v>46</v>
      </c>
    </row>
    <row r="190" spans="1:14">
      <c r="A190" s="434" t="s">
        <v>1295</v>
      </c>
      <c r="B190" s="431" t="s">
        <v>1296</v>
      </c>
      <c r="C190" s="431" t="s">
        <v>1297</v>
      </c>
      <c r="D190" s="431" t="s">
        <v>1298</v>
      </c>
      <c r="E190" s="432">
        <v>1.5199999999999999E-9</v>
      </c>
      <c r="F190" s="433">
        <v>6</v>
      </c>
      <c r="G190" s="432">
        <v>1.5199999999999999E-9</v>
      </c>
      <c r="H190" s="458">
        <v>2</v>
      </c>
      <c r="I190" s="432">
        <v>1.2100000000000001E-11</v>
      </c>
      <c r="J190" s="433">
        <v>2</v>
      </c>
      <c r="K190" s="433">
        <v>170</v>
      </c>
      <c r="L190" s="433" t="s">
        <v>816</v>
      </c>
      <c r="M190" s="433">
        <v>120</v>
      </c>
      <c r="N190" s="433" t="s">
        <v>816</v>
      </c>
    </row>
    <row r="191" spans="1:14">
      <c r="A191" s="434" t="s">
        <v>1299</v>
      </c>
      <c r="B191" s="431" t="s">
        <v>1300</v>
      </c>
      <c r="C191" s="431" t="s">
        <v>1297</v>
      </c>
      <c r="D191" s="431" t="s">
        <v>1301</v>
      </c>
      <c r="E191" s="432">
        <v>1.5900000000000001E-9</v>
      </c>
      <c r="F191" s="433">
        <v>6</v>
      </c>
      <c r="G191" s="432">
        <v>1.5900000000000001E-9</v>
      </c>
      <c r="H191" s="458">
        <v>2</v>
      </c>
      <c r="I191" s="432">
        <v>1.27E-11</v>
      </c>
      <c r="J191" s="433">
        <v>2</v>
      </c>
      <c r="K191" s="433">
        <v>170</v>
      </c>
      <c r="L191" s="433" t="s">
        <v>816</v>
      </c>
      <c r="M191" s="435">
        <v>1.3E-13</v>
      </c>
      <c r="N191" s="433" t="s">
        <v>816</v>
      </c>
    </row>
    <row r="192" spans="1:14">
      <c r="A192" s="434" t="s">
        <v>1302</v>
      </c>
      <c r="B192" s="431" t="s">
        <v>1303</v>
      </c>
      <c r="C192" s="431" t="s">
        <v>1297</v>
      </c>
      <c r="D192" s="431" t="s">
        <v>1304</v>
      </c>
      <c r="E192" s="432">
        <v>1.8899999999999999E-9</v>
      </c>
      <c r="F192" s="433">
        <v>8</v>
      </c>
      <c r="G192" s="432">
        <v>1.8899999999999999E-9</v>
      </c>
      <c r="H192" s="458">
        <v>2</v>
      </c>
      <c r="I192" s="432">
        <v>1.5100000000000001E-11</v>
      </c>
      <c r="J192" s="433">
        <v>2</v>
      </c>
      <c r="K192" s="433">
        <v>210</v>
      </c>
      <c r="L192" s="433" t="s">
        <v>816</v>
      </c>
      <c r="M192" s="433">
        <v>150</v>
      </c>
      <c r="N192" s="433" t="s">
        <v>816</v>
      </c>
    </row>
    <row r="193" spans="1:14">
      <c r="A193" s="434" t="s">
        <v>1305</v>
      </c>
      <c r="B193" s="431" t="s">
        <v>1306</v>
      </c>
      <c r="C193" s="431" t="s">
        <v>1297</v>
      </c>
      <c r="D193" s="431" t="s">
        <v>1307</v>
      </c>
      <c r="E193" s="432">
        <v>1.8999999999999999E-10</v>
      </c>
      <c r="F193" s="433">
        <v>8</v>
      </c>
      <c r="G193" s="432">
        <v>1.8999999999999999E-10</v>
      </c>
      <c r="H193" s="458">
        <v>2</v>
      </c>
      <c r="I193" s="432">
        <v>1.52E-11</v>
      </c>
      <c r="J193" s="433">
        <v>2</v>
      </c>
      <c r="K193" s="433">
        <v>210</v>
      </c>
      <c r="L193" s="433" t="s">
        <v>816</v>
      </c>
      <c r="M193" s="433">
        <v>150</v>
      </c>
      <c r="N193" s="433" t="s">
        <v>816</v>
      </c>
    </row>
    <row r="194" spans="1:14">
      <c r="A194" s="434" t="s">
        <v>1308</v>
      </c>
      <c r="B194" s="431" t="s">
        <v>1309</v>
      </c>
      <c r="C194" s="431" t="s">
        <v>1310</v>
      </c>
      <c r="D194" s="431" t="s">
        <v>1307</v>
      </c>
      <c r="E194" s="432">
        <v>8.7400000000000002E-8</v>
      </c>
      <c r="F194" s="433">
        <v>350</v>
      </c>
      <c r="G194" s="432">
        <v>8.7400000000000002E-8</v>
      </c>
      <c r="H194" s="458">
        <v>95</v>
      </c>
      <c r="I194" s="432">
        <v>8.6E-11</v>
      </c>
      <c r="J194" s="433">
        <v>126</v>
      </c>
      <c r="K194" s="435">
        <v>1.0300000000000001E-10</v>
      </c>
      <c r="L194" s="433">
        <v>17</v>
      </c>
      <c r="M194" s="435">
        <v>7.2100000000000002E-11</v>
      </c>
      <c r="N194" s="433">
        <v>13</v>
      </c>
    </row>
    <row r="195" spans="1:14">
      <c r="A195" s="434" t="s">
        <v>1311</v>
      </c>
      <c r="B195" s="431" t="s">
        <v>1312</v>
      </c>
      <c r="C195" s="431" t="s">
        <v>969</v>
      </c>
      <c r="D195" s="431" t="s">
        <v>1313</v>
      </c>
      <c r="E195" s="432">
        <v>2.4599999999999999E-8</v>
      </c>
      <c r="F195" s="433">
        <v>99</v>
      </c>
      <c r="G195" s="432">
        <v>2.4599999999999999E-8</v>
      </c>
      <c r="H195" s="458">
        <v>27</v>
      </c>
      <c r="I195" s="432">
        <v>2.02E-10</v>
      </c>
      <c r="J195" s="433">
        <v>30</v>
      </c>
      <c r="K195" s="435">
        <v>2.78E-11</v>
      </c>
      <c r="L195" s="433">
        <v>5</v>
      </c>
      <c r="M195" s="435">
        <v>2.0199999999999999E-11</v>
      </c>
      <c r="N195" s="433">
        <v>4</v>
      </c>
    </row>
    <row r="196" spans="1:14">
      <c r="A196" s="434" t="s">
        <v>1314</v>
      </c>
      <c r="B196" s="431" t="s">
        <v>1315</v>
      </c>
      <c r="C196" s="431" t="s">
        <v>969</v>
      </c>
      <c r="D196" s="431" t="s">
        <v>1316</v>
      </c>
      <c r="E196" s="432">
        <v>2.8299999999999999E-8</v>
      </c>
      <c r="F196" s="433">
        <v>113</v>
      </c>
      <c r="G196" s="432">
        <v>2.8299999999999999E-8</v>
      </c>
      <c r="H196" s="458">
        <v>31</v>
      </c>
      <c r="I196" s="432">
        <v>2.3300000000000002E-10</v>
      </c>
      <c r="J196" s="433">
        <v>34</v>
      </c>
      <c r="K196" s="435">
        <v>3.2000000000000001E-12</v>
      </c>
      <c r="L196" s="433">
        <v>5</v>
      </c>
      <c r="M196" s="435">
        <v>2.3200000000000001E-11</v>
      </c>
      <c r="N196" s="433">
        <v>4</v>
      </c>
    </row>
    <row r="197" spans="1:14">
      <c r="A197" s="434" t="s">
        <v>1317</v>
      </c>
      <c r="B197" s="431" t="s">
        <v>1318</v>
      </c>
      <c r="C197" s="431" t="s">
        <v>1297</v>
      </c>
      <c r="D197" s="431" t="s">
        <v>1319</v>
      </c>
      <c r="E197" s="432">
        <v>1.26E-9</v>
      </c>
      <c r="F197" s="433">
        <v>5</v>
      </c>
      <c r="G197" s="432">
        <v>1.26E-9</v>
      </c>
      <c r="H197" s="458">
        <v>1</v>
      </c>
      <c r="I197" s="432">
        <v>1E-13</v>
      </c>
      <c r="J197" s="433">
        <v>1</v>
      </c>
      <c r="K197" s="433">
        <v>140</v>
      </c>
      <c r="L197" s="433" t="s">
        <v>816</v>
      </c>
      <c r="M197" s="433">
        <v>100</v>
      </c>
      <c r="N197" s="433" t="s">
        <v>816</v>
      </c>
    </row>
    <row r="198" spans="1:14">
      <c r="A198" s="434" t="s">
        <v>1320</v>
      </c>
      <c r="B198" s="431" t="s">
        <v>1321</v>
      </c>
      <c r="C198" s="431" t="s">
        <v>1322</v>
      </c>
      <c r="D198" s="431" t="s">
        <v>1323</v>
      </c>
      <c r="E198" s="432">
        <v>6.2700000000000001E-9</v>
      </c>
      <c r="F198" s="433">
        <v>25</v>
      </c>
      <c r="G198" s="432">
        <v>6.2700000000000001E-9</v>
      </c>
      <c r="H198" s="458">
        <v>7</v>
      </c>
      <c r="I198" s="432">
        <v>5.0599999999999998E-11</v>
      </c>
      <c r="J198" s="433">
        <v>7</v>
      </c>
      <c r="K198" s="433">
        <v>700</v>
      </c>
      <c r="L198" s="433">
        <v>1</v>
      </c>
      <c r="M198" s="433">
        <v>510</v>
      </c>
      <c r="N198" s="433" t="s">
        <v>816</v>
      </c>
    </row>
    <row r="199" spans="1:14">
      <c r="A199" s="434" t="s">
        <v>1324</v>
      </c>
      <c r="B199" s="431" t="s">
        <v>1325</v>
      </c>
      <c r="C199" s="431" t="s">
        <v>1158</v>
      </c>
      <c r="D199" s="431" t="s">
        <v>1326</v>
      </c>
      <c r="E199" s="432">
        <v>4.8E-9</v>
      </c>
      <c r="F199" s="433">
        <v>192</v>
      </c>
      <c r="G199" s="432">
        <v>4.8E-9</v>
      </c>
      <c r="H199" s="458">
        <v>52</v>
      </c>
      <c r="I199" s="432">
        <v>4.0799999999999999E-10</v>
      </c>
      <c r="J199" s="433">
        <v>60</v>
      </c>
      <c r="K199" s="435">
        <v>5.4700000000000002E-11</v>
      </c>
      <c r="L199" s="433">
        <v>9</v>
      </c>
      <c r="M199" s="435">
        <v>3.9499999999999999E-11</v>
      </c>
      <c r="N199" s="433">
        <v>7</v>
      </c>
    </row>
    <row r="200" spans="1:14">
      <c r="A200" s="434" t="s">
        <v>1327</v>
      </c>
      <c r="B200" s="431" t="s">
        <v>1328</v>
      </c>
      <c r="C200" s="431" t="s">
        <v>1329</v>
      </c>
      <c r="D200" s="431" t="s">
        <v>1319</v>
      </c>
      <c r="E200" s="432">
        <v>3E-11</v>
      </c>
      <c r="F200" s="433">
        <v>12</v>
      </c>
      <c r="G200" s="432">
        <v>3E-11</v>
      </c>
      <c r="H200" s="458">
        <v>3</v>
      </c>
      <c r="I200" s="432">
        <v>2.4099999999999999E-11</v>
      </c>
      <c r="J200" s="433">
        <v>4</v>
      </c>
      <c r="K200" s="433">
        <v>330</v>
      </c>
      <c r="L200" s="433" t="s">
        <v>816</v>
      </c>
      <c r="M200" s="433">
        <v>240</v>
      </c>
      <c r="N200" s="433" t="s">
        <v>816</v>
      </c>
    </row>
    <row r="201" spans="1:14">
      <c r="A201" s="434" t="s">
        <v>1330</v>
      </c>
      <c r="B201" s="431" t="s">
        <v>1331</v>
      </c>
      <c r="C201" s="431" t="s">
        <v>969</v>
      </c>
      <c r="D201" s="431" t="s">
        <v>1332</v>
      </c>
      <c r="E201" s="432">
        <v>2.48E-8</v>
      </c>
      <c r="F201" s="433">
        <v>99</v>
      </c>
      <c r="G201" s="432">
        <v>2.48E-8</v>
      </c>
      <c r="H201" s="458">
        <v>27</v>
      </c>
      <c r="I201" s="432">
        <v>2.0399999999999999E-10</v>
      </c>
      <c r="J201" s="433">
        <v>30</v>
      </c>
      <c r="K201" s="435">
        <v>2.8099999999999999E-11</v>
      </c>
      <c r="L201" s="433">
        <v>5</v>
      </c>
      <c r="M201" s="435">
        <v>2.0399999999999999E-11</v>
      </c>
      <c r="N201" s="433">
        <v>4</v>
      </c>
    </row>
    <row r="202" spans="1:14">
      <c r="A202" s="434" t="s">
        <v>1333</v>
      </c>
      <c r="B202" s="431" t="s">
        <v>1334</v>
      </c>
      <c r="C202" s="431" t="s">
        <v>1158</v>
      </c>
      <c r="D202" s="431" t="s">
        <v>994</v>
      </c>
      <c r="E202" s="432">
        <v>3.1E-9</v>
      </c>
      <c r="F202" s="433">
        <v>124</v>
      </c>
      <c r="G202" s="432">
        <v>3.1E-9</v>
      </c>
      <c r="H202" s="458">
        <v>34</v>
      </c>
      <c r="I202" s="432">
        <v>2.6099999999999998E-10</v>
      </c>
      <c r="J202" s="433">
        <v>38</v>
      </c>
      <c r="K202" s="435">
        <v>3.5199999999999999E-11</v>
      </c>
      <c r="L202" s="433">
        <v>6</v>
      </c>
      <c r="M202" s="435">
        <v>2.5499999999999999E-11</v>
      </c>
      <c r="N202" s="433">
        <v>5</v>
      </c>
    </row>
    <row r="203" spans="1:14">
      <c r="A203" s="434" t="s">
        <v>1335</v>
      </c>
      <c r="B203" s="431" t="s">
        <v>1336</v>
      </c>
      <c r="C203" s="431" t="s">
        <v>1337</v>
      </c>
      <c r="D203" s="431" t="s">
        <v>1124</v>
      </c>
      <c r="E203" s="431">
        <v>9.9099999999999991E-7</v>
      </c>
      <c r="F203" s="433">
        <v>3970</v>
      </c>
      <c r="G203" s="431">
        <v>1.1400000000000001E-6</v>
      </c>
      <c r="H203" s="458">
        <v>1240</v>
      </c>
      <c r="I203" s="432">
        <v>2.03E-8</v>
      </c>
      <c r="J203" s="433">
        <v>2960</v>
      </c>
      <c r="K203" s="435">
        <v>2.88E-9</v>
      </c>
      <c r="L203" s="433">
        <v>467</v>
      </c>
      <c r="M203" s="435">
        <v>9.7399999999999995E-10</v>
      </c>
      <c r="N203" s="433">
        <v>178</v>
      </c>
    </row>
    <row r="204" spans="1:14">
      <c r="A204" s="434" t="s">
        <v>1338</v>
      </c>
      <c r="B204" s="431" t="s">
        <v>1339</v>
      </c>
      <c r="C204" s="431" t="s">
        <v>843</v>
      </c>
      <c r="D204" s="431" t="s">
        <v>832</v>
      </c>
      <c r="E204" s="432">
        <v>2.14E-8</v>
      </c>
      <c r="F204" s="433">
        <v>86</v>
      </c>
      <c r="G204" s="432">
        <v>2.14E-8</v>
      </c>
      <c r="H204" s="458">
        <v>23</v>
      </c>
      <c r="I204" s="432">
        <v>1.7700000000000001E-10</v>
      </c>
      <c r="J204" s="433">
        <v>26</v>
      </c>
      <c r="K204" s="435">
        <v>2.4299999999999999E-11</v>
      </c>
      <c r="L204" s="433">
        <v>4</v>
      </c>
      <c r="M204" s="435">
        <v>1.7599999999999999E-11</v>
      </c>
      <c r="N204" s="433">
        <v>3</v>
      </c>
    </row>
    <row r="205" spans="1:14">
      <c r="A205" s="434" t="s">
        <v>1340</v>
      </c>
      <c r="B205" s="431" t="s">
        <v>1341</v>
      </c>
      <c r="C205" s="431" t="s">
        <v>1342</v>
      </c>
      <c r="D205" s="431" t="s">
        <v>1343</v>
      </c>
      <c r="E205" s="431">
        <v>1.9800000000000001E-6</v>
      </c>
      <c r="F205" s="433">
        <v>7940</v>
      </c>
      <c r="G205" s="431">
        <v>5.9499999999999998E-6</v>
      </c>
      <c r="H205" s="458">
        <v>6490</v>
      </c>
      <c r="I205" s="432">
        <v>5.5700000000000002E-8</v>
      </c>
      <c r="J205" s="433">
        <v>8140</v>
      </c>
      <c r="K205" s="435">
        <v>4.29E-8</v>
      </c>
      <c r="L205" s="433">
        <v>6960</v>
      </c>
      <c r="M205" s="435">
        <v>2.3899999999999999E-8</v>
      </c>
      <c r="N205" s="433">
        <v>4380</v>
      </c>
    </row>
    <row r="206" spans="1:14">
      <c r="A206" s="434" t="s">
        <v>1344</v>
      </c>
      <c r="B206" s="431" t="s">
        <v>1345</v>
      </c>
      <c r="C206" s="431" t="s">
        <v>1346</v>
      </c>
      <c r="D206" s="431" t="s">
        <v>823</v>
      </c>
      <c r="E206" s="432">
        <v>1.1900000000000001E-8</v>
      </c>
      <c r="F206" s="433">
        <v>48</v>
      </c>
      <c r="G206" s="432">
        <v>1.1900000000000001E-8</v>
      </c>
      <c r="H206" s="458">
        <v>13</v>
      </c>
      <c r="I206" s="432">
        <v>9.7199999999999998E-11</v>
      </c>
      <c r="J206" s="433">
        <v>14</v>
      </c>
      <c r="K206" s="435">
        <v>1.35E-11</v>
      </c>
      <c r="L206" s="433">
        <v>2</v>
      </c>
      <c r="M206" s="433">
        <v>970</v>
      </c>
      <c r="N206" s="433">
        <v>2</v>
      </c>
    </row>
    <row r="207" spans="1:14">
      <c r="A207" s="434" t="s">
        <v>1347</v>
      </c>
      <c r="B207" s="431" t="s">
        <v>1348</v>
      </c>
      <c r="C207" s="431" t="s">
        <v>1349</v>
      </c>
      <c r="D207" s="431" t="s">
        <v>832</v>
      </c>
      <c r="E207" s="432">
        <v>1.5600000000000001E-8</v>
      </c>
      <c r="F207" s="433">
        <v>63</v>
      </c>
      <c r="G207" s="432">
        <v>1.5600000000000001E-8</v>
      </c>
      <c r="H207" s="458">
        <v>17</v>
      </c>
      <c r="I207" s="432">
        <v>1.27E-10</v>
      </c>
      <c r="J207" s="433">
        <v>19</v>
      </c>
      <c r="K207" s="435">
        <v>1.7599999999999999E-11</v>
      </c>
      <c r="L207" s="433">
        <v>3</v>
      </c>
      <c r="M207" s="435">
        <v>1.28E-11</v>
      </c>
      <c r="N207" s="433">
        <v>2</v>
      </c>
    </row>
    <row r="208" spans="1:14">
      <c r="A208" s="434" t="s">
        <v>1350</v>
      </c>
      <c r="B208" s="431" t="s">
        <v>1351</v>
      </c>
      <c r="C208" s="431" t="s">
        <v>969</v>
      </c>
      <c r="D208" s="431" t="s">
        <v>835</v>
      </c>
      <c r="E208" s="432">
        <v>1.4899999999999999E-8</v>
      </c>
      <c r="F208" s="433">
        <v>60</v>
      </c>
      <c r="G208" s="432">
        <v>1.4899999999999999E-8</v>
      </c>
      <c r="H208" s="458">
        <v>16</v>
      </c>
      <c r="I208" s="432">
        <v>1.2299999999999999E-10</v>
      </c>
      <c r="J208" s="433">
        <v>18</v>
      </c>
      <c r="K208" s="435">
        <v>1.6900000000000001E-11</v>
      </c>
      <c r="L208" s="433">
        <v>3</v>
      </c>
      <c r="M208" s="435">
        <v>1.23E-11</v>
      </c>
      <c r="N208" s="433">
        <v>2</v>
      </c>
    </row>
    <row r="209" spans="1:14">
      <c r="A209" s="434" t="s">
        <v>1352</v>
      </c>
      <c r="B209" s="431" t="s">
        <v>1353</v>
      </c>
      <c r="C209" s="431" t="s">
        <v>1354</v>
      </c>
      <c r="D209" s="431" t="s">
        <v>938</v>
      </c>
      <c r="E209" s="432">
        <v>4.8199999999999999E-10</v>
      </c>
      <c r="F209" s="433">
        <v>2</v>
      </c>
      <c r="G209" s="432">
        <v>4.8199999999999999E-10</v>
      </c>
      <c r="H209" s="458" t="s">
        <v>816</v>
      </c>
      <c r="I209" s="431">
        <v>380</v>
      </c>
      <c r="J209" s="433" t="s">
        <v>816</v>
      </c>
      <c r="K209" s="433">
        <v>500</v>
      </c>
      <c r="L209" s="433" t="s">
        <v>816</v>
      </c>
      <c r="M209" s="433">
        <v>300</v>
      </c>
      <c r="N209" s="433" t="s">
        <v>816</v>
      </c>
    </row>
    <row r="210" spans="1:14">
      <c r="A210" s="434" t="s">
        <v>1355</v>
      </c>
      <c r="B210" s="431" t="s">
        <v>1356</v>
      </c>
      <c r="C210" s="431" t="s">
        <v>932</v>
      </c>
      <c r="D210" s="431" t="s">
        <v>938</v>
      </c>
      <c r="E210" s="432">
        <v>9.1400000000000002E-11</v>
      </c>
      <c r="F210" s="433" t="s">
        <v>816</v>
      </c>
      <c r="G210" s="432">
        <v>9.1400000000000002E-11</v>
      </c>
      <c r="H210" s="458" t="s">
        <v>816</v>
      </c>
      <c r="I210" s="431">
        <v>700</v>
      </c>
      <c r="J210" s="433" t="s">
        <v>816</v>
      </c>
      <c r="K210" s="433">
        <v>100</v>
      </c>
      <c r="L210" s="433" t="s">
        <v>816</v>
      </c>
      <c r="M210" s="433">
        <v>512</v>
      </c>
      <c r="N210" s="433" t="s">
        <v>816</v>
      </c>
    </row>
    <row r="211" spans="1:14">
      <c r="A211" s="434" t="s">
        <v>1357</v>
      </c>
      <c r="B211" s="431" t="s">
        <v>1358</v>
      </c>
      <c r="C211" s="431" t="s">
        <v>1359</v>
      </c>
      <c r="D211" s="431" t="s">
        <v>966</v>
      </c>
      <c r="E211" s="431">
        <v>980</v>
      </c>
      <c r="F211" s="433" t="s">
        <v>816</v>
      </c>
      <c r="G211" s="431">
        <v>980</v>
      </c>
      <c r="H211" s="458" t="s">
        <v>816</v>
      </c>
      <c r="I211" s="431">
        <v>512</v>
      </c>
      <c r="J211" s="433" t="s">
        <v>816</v>
      </c>
      <c r="K211" s="433">
        <v>512</v>
      </c>
      <c r="L211" s="433" t="s">
        <v>816</v>
      </c>
      <c r="M211" s="433">
        <v>8192</v>
      </c>
      <c r="N211" s="433" t="s">
        <v>816</v>
      </c>
    </row>
    <row r="212" spans="1:14">
      <c r="A212" s="434" t="s">
        <v>1360</v>
      </c>
      <c r="B212" s="431" t="s">
        <v>1361</v>
      </c>
      <c r="C212" s="431" t="s">
        <v>1362</v>
      </c>
      <c r="D212" s="431" t="s">
        <v>826</v>
      </c>
      <c r="E212" s="432">
        <v>8.07E-10</v>
      </c>
      <c r="F212" s="433">
        <v>3</v>
      </c>
      <c r="G212" s="432">
        <v>8.07E-10</v>
      </c>
      <c r="H212" s="458" t="s">
        <v>816</v>
      </c>
      <c r="I212" s="431">
        <v>640</v>
      </c>
      <c r="J212" s="433" t="s">
        <v>816</v>
      </c>
      <c r="K212" s="433">
        <v>900</v>
      </c>
      <c r="L212" s="433" t="s">
        <v>816</v>
      </c>
      <c r="M212" s="433">
        <v>600</v>
      </c>
      <c r="N212" s="433" t="s">
        <v>816</v>
      </c>
    </row>
    <row r="213" spans="1:14">
      <c r="A213" s="434" t="s">
        <v>1363</v>
      </c>
      <c r="B213" s="431" t="s">
        <v>1364</v>
      </c>
      <c r="C213" s="431" t="s">
        <v>1365</v>
      </c>
      <c r="D213" s="431" t="s">
        <v>844</v>
      </c>
      <c r="E213" s="432">
        <v>2.7799999999999999E-9</v>
      </c>
      <c r="F213" s="433">
        <v>11</v>
      </c>
      <c r="G213" s="432">
        <v>2.7799999999999999E-9</v>
      </c>
      <c r="H213" s="458">
        <v>3</v>
      </c>
      <c r="I213" s="432">
        <v>2.23E-11</v>
      </c>
      <c r="J213" s="433">
        <v>3</v>
      </c>
      <c r="K213" s="433">
        <v>310</v>
      </c>
      <c r="L213" s="433" t="s">
        <v>816</v>
      </c>
      <c r="M213" s="433">
        <v>220</v>
      </c>
      <c r="N213" s="433" t="s">
        <v>816</v>
      </c>
    </row>
    <row r="214" spans="1:14">
      <c r="A214" s="434" t="s">
        <v>1366</v>
      </c>
      <c r="B214" s="431" t="s">
        <v>1367</v>
      </c>
      <c r="C214" s="431" t="s">
        <v>969</v>
      </c>
      <c r="D214" s="431" t="s">
        <v>847</v>
      </c>
      <c r="E214" s="432">
        <v>1.8299999999999998E-8</v>
      </c>
      <c r="F214" s="433">
        <v>73</v>
      </c>
      <c r="G214" s="432">
        <v>1.8299999999999998E-8</v>
      </c>
      <c r="H214" s="458">
        <v>20</v>
      </c>
      <c r="I214" s="432">
        <v>1.5E-11</v>
      </c>
      <c r="J214" s="433">
        <v>22</v>
      </c>
      <c r="K214" s="435">
        <v>2.07E-11</v>
      </c>
      <c r="L214" s="433">
        <v>3</v>
      </c>
      <c r="M214" s="435">
        <v>1.5000000000000001E-12</v>
      </c>
      <c r="N214" s="433">
        <v>3</v>
      </c>
    </row>
    <row r="215" spans="1:14">
      <c r="A215" s="434" t="s">
        <v>1368</v>
      </c>
      <c r="B215" s="431" t="s">
        <v>1369</v>
      </c>
      <c r="C215" s="431" t="s">
        <v>949</v>
      </c>
      <c r="D215" s="431" t="s">
        <v>1370</v>
      </c>
      <c r="E215" s="431">
        <v>2.4700000000000001E-6</v>
      </c>
      <c r="F215" s="433">
        <v>9910</v>
      </c>
      <c r="G215" s="431">
        <v>4.51E-6</v>
      </c>
      <c r="H215" s="458">
        <v>4920</v>
      </c>
      <c r="I215" s="432">
        <v>6.3800000000000002E-8</v>
      </c>
      <c r="J215" s="433">
        <v>9320</v>
      </c>
      <c r="K215" s="435">
        <v>2.7500000000000001E-8</v>
      </c>
      <c r="L215" s="433">
        <v>4460</v>
      </c>
      <c r="M215" s="435">
        <v>7.4499999999999997E-9</v>
      </c>
      <c r="N215" s="433">
        <v>1360</v>
      </c>
    </row>
    <row r="216" spans="1:14">
      <c r="A216" s="434" t="s">
        <v>1371</v>
      </c>
      <c r="B216" s="431" t="s">
        <v>1372</v>
      </c>
      <c r="C216" s="431" t="s">
        <v>949</v>
      </c>
      <c r="D216" s="431" t="s">
        <v>1373</v>
      </c>
      <c r="E216" s="431">
        <v>2.26E-6</v>
      </c>
      <c r="F216" s="433">
        <v>9050</v>
      </c>
      <c r="G216" s="431">
        <v>4.1200000000000004E-6</v>
      </c>
      <c r="H216" s="458">
        <v>4490</v>
      </c>
      <c r="I216" s="432">
        <v>5.8299999999999999E-8</v>
      </c>
      <c r="J216" s="433">
        <v>8520</v>
      </c>
      <c r="K216" s="435">
        <v>2.51E-8</v>
      </c>
      <c r="L216" s="433">
        <v>4080</v>
      </c>
      <c r="M216" s="435">
        <v>6.8100000000000003E-9</v>
      </c>
      <c r="N216" s="433">
        <v>1250</v>
      </c>
    </row>
    <row r="217" spans="1:14">
      <c r="A217" s="434" t="s">
        <v>1374</v>
      </c>
      <c r="B217" s="431" t="s">
        <v>1375</v>
      </c>
      <c r="C217" s="431" t="s">
        <v>949</v>
      </c>
      <c r="D217" s="431" t="s">
        <v>1376</v>
      </c>
      <c r="E217" s="431">
        <v>1.8300000000000001E-6</v>
      </c>
      <c r="F217" s="433">
        <v>7320</v>
      </c>
      <c r="G217" s="431">
        <v>3.3299999999999999E-6</v>
      </c>
      <c r="H217" s="458">
        <v>3630</v>
      </c>
      <c r="I217" s="432">
        <v>4.7099999999999998E-8</v>
      </c>
      <c r="J217" s="433">
        <v>6880</v>
      </c>
      <c r="K217" s="435">
        <v>2.03E-8</v>
      </c>
      <c r="L217" s="433">
        <v>3300</v>
      </c>
      <c r="M217" s="435">
        <v>5.4999999999999996E-10</v>
      </c>
      <c r="N217" s="433">
        <v>1010</v>
      </c>
    </row>
  </sheetData>
  <sheetProtection algorithmName="SHA-512" hashValue="mVS7W7dp9bh9XLSjxblFeWevHaphuXabWNrKqNwtGLlIcBmX4wFkyFIlPVQWUHumBJwsdRSrWMovwOW2ymv+CA==" saltValue="js3ofPCVhJiMdhAb6Gb2qw==" spinCount="100000" sheet="1" objects="1" scenarios="1" autoFilter="0"/>
  <autoFilter ref="A3:N217" xr:uid="{00000000-0009-0000-0000-000017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S54"/>
  <sheetViews>
    <sheetView showGridLines="0" workbookViewId="0"/>
  </sheetViews>
  <sheetFormatPr baseColWidth="10" defaultColWidth="9.109375" defaultRowHeight="14.4"/>
  <cols>
    <col min="1" max="1" width="9.109375" style="78"/>
    <col min="2" max="2" width="11.109375" style="78" bestFit="1" customWidth="1"/>
    <col min="3" max="3" width="14.44140625" style="78" bestFit="1" customWidth="1"/>
    <col min="4" max="5" width="35.33203125" style="78" customWidth="1"/>
    <col min="6" max="6" width="14.44140625" style="78" bestFit="1" customWidth="1"/>
    <col min="7" max="8" width="31.44140625" style="78" customWidth="1"/>
    <col min="9" max="9" width="14.44140625" style="78" bestFit="1" customWidth="1"/>
    <col min="10" max="10" width="16.44140625" style="78" bestFit="1" customWidth="1"/>
    <col min="11" max="11" width="22.88671875" style="78" bestFit="1" customWidth="1"/>
    <col min="12" max="12" width="14.44140625" style="78" bestFit="1" customWidth="1"/>
    <col min="13" max="13" width="16.44140625" style="78" bestFit="1" customWidth="1"/>
    <col min="14" max="14" width="22.88671875" style="78" bestFit="1" customWidth="1"/>
    <col min="15" max="15" width="14.33203125" style="131" customWidth="1"/>
  </cols>
  <sheetData>
    <row r="1" spans="1:19">
      <c r="A1"/>
      <c r="B1" s="1"/>
      <c r="C1"/>
      <c r="D1"/>
      <c r="E1"/>
      <c r="F1"/>
      <c r="G1"/>
      <c r="H1"/>
      <c r="I1"/>
      <c r="J1"/>
      <c r="K1"/>
      <c r="L1"/>
      <c r="M1"/>
      <c r="N1"/>
    </row>
    <row r="2" spans="1:19" ht="39.75" customHeight="1">
      <c r="A2"/>
      <c r="B2" s="610" t="s">
        <v>1377</v>
      </c>
      <c r="C2" s="611"/>
      <c r="D2" s="611"/>
      <c r="E2" s="611"/>
      <c r="F2" s="611"/>
      <c r="G2" s="611"/>
      <c r="H2" s="611"/>
      <c r="I2" s="611"/>
      <c r="J2" s="611"/>
      <c r="K2" s="611"/>
      <c r="L2" s="611"/>
      <c r="M2" s="612"/>
      <c r="N2" s="149"/>
    </row>
    <row r="3" spans="1:19">
      <c r="A3"/>
      <c r="B3" s="444" t="s">
        <v>1378</v>
      </c>
      <c r="C3" s="444" t="s">
        <v>1379</v>
      </c>
      <c r="D3" s="444" t="s">
        <v>1380</v>
      </c>
      <c r="E3" s="444" t="s">
        <v>1381</v>
      </c>
      <c r="F3" s="444" t="s">
        <v>1382</v>
      </c>
      <c r="G3" s="444" t="s">
        <v>1383</v>
      </c>
      <c r="H3" s="444" t="s">
        <v>1384</v>
      </c>
      <c r="I3" s="444" t="s">
        <v>1385</v>
      </c>
      <c r="J3" s="444" t="s">
        <v>1386</v>
      </c>
      <c r="K3" s="444" t="s">
        <v>1387</v>
      </c>
      <c r="L3" s="444" t="s">
        <v>1388</v>
      </c>
      <c r="M3" s="444" t="s">
        <v>1389</v>
      </c>
      <c r="N3" s="444" t="s">
        <v>1390</v>
      </c>
      <c r="O3" s="445" t="s">
        <v>1391</v>
      </c>
      <c r="S3" s="153"/>
    </row>
    <row r="4" spans="1:19" ht="88.2" customHeight="1">
      <c r="B4" s="142" t="s">
        <v>1392</v>
      </c>
      <c r="C4" s="122" t="s">
        <v>741</v>
      </c>
      <c r="D4" s="110" t="s">
        <v>1393</v>
      </c>
      <c r="E4" s="110"/>
      <c r="F4" s="122" t="s">
        <v>181</v>
      </c>
      <c r="G4" s="110" t="s">
        <v>1394</v>
      </c>
      <c r="H4" s="110"/>
      <c r="I4" s="122"/>
      <c r="J4" s="122"/>
      <c r="K4" s="122"/>
      <c r="L4" s="122"/>
      <c r="M4" s="122"/>
      <c r="N4" s="122"/>
      <c r="O4" s="133"/>
      <c r="S4" s="151"/>
    </row>
    <row r="5" spans="1:19">
      <c r="B5" s="142" t="s">
        <v>1395</v>
      </c>
      <c r="C5" s="122" t="s">
        <v>738</v>
      </c>
      <c r="D5" s="150">
        <v>0.53</v>
      </c>
      <c r="E5" s="152">
        <f>IFERROR(IF(ISBLANK(C5)=TRUE(),0,_xlfn.XLOOKUP(C5,'1.4 AR5 CH8  T8.A.1'!$A$4:$A$217,'1.4 AR5 CH8  T8.A.1'!$H$4:$H$217)),"-")</f>
        <v>1760</v>
      </c>
      <c r="F5" s="122" t="s">
        <v>172</v>
      </c>
      <c r="G5" s="150">
        <v>0.13</v>
      </c>
      <c r="H5" s="152">
        <f>IFERROR(IF(ISBLANK(F5)=TRUE(),0,_xlfn.XLOOKUP(F5,'1.4 AR5 CH8  T8.A.1'!$A$4:$A$217,'1.4 AR5 CH8  T8.A.1'!$H$4:$H$217)),"-")</f>
        <v>138</v>
      </c>
      <c r="I5" s="122" t="s">
        <v>188</v>
      </c>
      <c r="J5" s="150">
        <v>0.34</v>
      </c>
      <c r="K5" s="152">
        <f>IFERROR(IF(ISBLANK(I5)=TRUE(),0,_xlfn.XLOOKUP(I5,'1.4 AR5 CH8  T8.A.1'!$A$4:$A$217,'1.4 AR5 CH8  T8.A.1'!$H$4:$H$217,)),"-")</f>
        <v>527</v>
      </c>
      <c r="L5" s="122"/>
      <c r="M5" s="150">
        <v>0</v>
      </c>
      <c r="N5" s="152">
        <f>IFERROR(IF(ISBLANK(L5)=TRUE(),0,_xlfn.XLOOKUP(L5,'1.4 AR5 CH8  T8.A.1'!$A$4:$A$217,'1.4 AR5 CH8  T8.A.1'!$H$4:$H$217)),"-")</f>
        <v>0</v>
      </c>
      <c r="O5" s="152">
        <f>IFERROR(SUM(D5*E5,G5*H5,J5*K5,,M5*N5),"-")</f>
        <v>1129.92</v>
      </c>
      <c r="S5" s="151"/>
    </row>
    <row r="6" spans="1:19">
      <c r="B6" s="142" t="s">
        <v>1396</v>
      </c>
      <c r="C6" s="122" t="s">
        <v>738</v>
      </c>
      <c r="D6" s="150">
        <v>0.61</v>
      </c>
      <c r="E6" s="152">
        <f>IFERROR(IF(ISBLANK(C6)=TRUE(),0,_xlfn.XLOOKUP(C6,'1.4 AR5 CH8  T8.A.1'!$A$4:$A$217,'1.4 AR5 CH8  T8.A.1'!$H$4:$H$217)),"-")</f>
        <v>1760</v>
      </c>
      <c r="F6" s="122" t="s">
        <v>172</v>
      </c>
      <c r="G6" s="150">
        <v>0.11</v>
      </c>
      <c r="H6" s="152">
        <f>IFERROR(IF(ISBLANK(F6)=TRUE(),0,_xlfn.XLOOKUP(F6,'1.4 AR5 CH8  T8.A.1'!$A$4:$A$217,'1.4 AR5 CH8  T8.A.1'!$H$4:$H$217)),"-")</f>
        <v>138</v>
      </c>
      <c r="I6" s="122" t="s">
        <v>188</v>
      </c>
      <c r="J6" s="150">
        <v>0.28000000000000003</v>
      </c>
      <c r="K6" s="152">
        <f>IFERROR(IF(ISBLANK(I6)=TRUE(),0,_xlfn.XLOOKUP(I6,'1.4 AR5 CH8  T8.A.1'!$A$4:$A$217,'1.4 AR5 CH8  T8.A.1'!$H$4:$H$217,)),"-")</f>
        <v>527</v>
      </c>
      <c r="L6" s="122"/>
      <c r="M6" s="150">
        <v>0</v>
      </c>
      <c r="N6" s="152">
        <f>IFERROR(IF(ISBLANK(L6)=TRUE(),0,_xlfn.XLOOKUP(L6,'1.4 AR5 CH8  T8.A.1'!$A$4:$A$217,'1.4 AR5 CH8  T8.A.1'!$H$4:$H$217)),"-")</f>
        <v>0</v>
      </c>
      <c r="O6" s="152">
        <f t="shared" ref="O6:O54" si="0">IFERROR(SUM(D6*E6,G6*H6,J6*K6,,M6*N6),"-")</f>
        <v>1236.3399999999999</v>
      </c>
      <c r="S6" s="151"/>
    </row>
    <row r="7" spans="1:19">
      <c r="B7" s="142" t="s">
        <v>1397</v>
      </c>
      <c r="C7" s="122" t="s">
        <v>738</v>
      </c>
      <c r="D7" s="150">
        <v>0.33</v>
      </c>
      <c r="E7" s="152">
        <f>IFERROR(IF(ISBLANK(C7)=TRUE(),0,_xlfn.XLOOKUP(C7,'1.4 AR5 CH8  T8.A.1'!$A$4:$A$217,'1.4 AR5 CH8  T8.A.1'!$H$4:$H$217)),"-")</f>
        <v>1760</v>
      </c>
      <c r="F7" s="122" t="s">
        <v>172</v>
      </c>
      <c r="G7" s="150">
        <v>0.15</v>
      </c>
      <c r="H7" s="152">
        <f>IFERROR(IF(ISBLANK(F7)=TRUE(),0,_xlfn.XLOOKUP(F7,'1.4 AR5 CH8  T8.A.1'!$A$4:$A$217,'1.4 AR5 CH8  T8.A.1'!$H$4:$H$217)),"-")</f>
        <v>138</v>
      </c>
      <c r="I7" s="122" t="s">
        <v>188</v>
      </c>
      <c r="J7" s="150">
        <v>0.52</v>
      </c>
      <c r="K7" s="152">
        <f>IFERROR(IF(ISBLANK(I7)=TRUE(),0,_xlfn.XLOOKUP(I7,'1.4 AR5 CH8  T8.A.1'!$A$4:$A$217,'1.4 AR5 CH8  T8.A.1'!$H$4:$H$217,)),"-")</f>
        <v>527</v>
      </c>
      <c r="L7" s="122"/>
      <c r="M7" s="150">
        <v>0</v>
      </c>
      <c r="N7" s="152">
        <f>IFERROR(IF(ISBLANK(L7)=TRUE(),0,_xlfn.XLOOKUP(L7,'1.4 AR5 CH8  T8.A.1'!$A$4:$A$217,'1.4 AR5 CH8  T8.A.1'!$H$4:$H$217)),"-")</f>
        <v>0</v>
      </c>
      <c r="O7" s="152">
        <f t="shared" si="0"/>
        <v>875.54000000000019</v>
      </c>
      <c r="S7" s="151"/>
    </row>
    <row r="8" spans="1:19">
      <c r="B8" s="142" t="s">
        <v>1398</v>
      </c>
      <c r="C8" s="122" t="s">
        <v>153</v>
      </c>
      <c r="D8" s="150">
        <v>0.6</v>
      </c>
      <c r="E8" s="152">
        <f>IFERROR(IF(ISBLANK(C8)=TRUE(),0,_xlfn.XLOOKUP(C8,'1.4 AR5 CH8  T8.A.1'!$A$4:$A$217,'1.4 AR5 CH8  T8.A.1'!$H$4:$H$217)),"-")</f>
        <v>3170</v>
      </c>
      <c r="F8" s="122" t="s">
        <v>1399</v>
      </c>
      <c r="G8" s="150">
        <v>0.02</v>
      </c>
      <c r="H8" s="152" t="str">
        <f>IFERROR(IF(ISBLANK(F8)=TRUE(),0,_xlfn.XLOOKUP(F8,'1.4 AR5 CH8  T8.A.1'!$A$4:$A$217,'1.4 AR5 CH8  T8.A.1'!$H$4:$H$217)),"-")</f>
        <v>-</v>
      </c>
      <c r="I8" s="122" t="s">
        <v>738</v>
      </c>
      <c r="J8" s="150">
        <v>0.38</v>
      </c>
      <c r="K8" s="152">
        <f>IFERROR(IF(ISBLANK(I8)=TRUE(),0,_xlfn.XLOOKUP(I8,'1.4 AR5 CH8  T8.A.1'!$A$4:$A$217,'1.4 AR5 CH8  T8.A.1'!$H$4:$H$217,)),"-")</f>
        <v>1760</v>
      </c>
      <c r="L8" s="122"/>
      <c r="M8" s="150">
        <v>0</v>
      </c>
      <c r="N8" s="152">
        <f>IFERROR(IF(ISBLANK(L8)=TRUE(),0,_xlfn.XLOOKUP(L8,'1.4 AR5 CH8  T8.A.1'!$A$4:$A$217,'1.4 AR5 CH8  T8.A.1'!$H$4:$H$217)),"-")</f>
        <v>0</v>
      </c>
      <c r="O8" s="152" t="str">
        <f t="shared" si="0"/>
        <v>-</v>
      </c>
      <c r="S8" s="151"/>
    </row>
    <row r="9" spans="1:19">
      <c r="B9" s="142" t="s">
        <v>1400</v>
      </c>
      <c r="C9" s="122" t="s">
        <v>153</v>
      </c>
      <c r="D9" s="150">
        <v>0.38</v>
      </c>
      <c r="E9" s="152">
        <f>IFERROR(IF(ISBLANK(C9)=TRUE(),0,_xlfn.XLOOKUP(C9,'1.4 AR5 CH8  T8.A.1'!$A$4:$A$217,'1.4 AR5 CH8  T8.A.1'!$H$4:$H$217)),"-")</f>
        <v>3170</v>
      </c>
      <c r="F9" s="122" t="s">
        <v>1399</v>
      </c>
      <c r="G9" s="150">
        <v>0.02</v>
      </c>
      <c r="H9" s="152" t="str">
        <f>IFERROR(IF(ISBLANK(F9)=TRUE(),0,_xlfn.XLOOKUP(F9,'1.4 AR5 CH8  T8.A.1'!$A$4:$A$217,'1.4 AR5 CH8  T8.A.1'!$H$4:$H$217)),"-")</f>
        <v>-</v>
      </c>
      <c r="I9" s="122" t="s">
        <v>738</v>
      </c>
      <c r="J9" s="150">
        <v>0.6</v>
      </c>
      <c r="K9" s="152">
        <f>IFERROR(IF(ISBLANK(I9)=TRUE(),0,_xlfn.XLOOKUP(I9,'1.4 AR5 CH8  T8.A.1'!$A$4:$A$217,'1.4 AR5 CH8  T8.A.1'!$H$4:$H$217,)),"-")</f>
        <v>1760</v>
      </c>
      <c r="L9" s="122"/>
      <c r="M9" s="150">
        <v>0</v>
      </c>
      <c r="N9" s="152">
        <f>IFERROR(IF(ISBLANK(L9)=TRUE(),0,_xlfn.XLOOKUP(L9,'1.4 AR5 CH8  T8.A.1'!$A$4:$A$217,'1.4 AR5 CH8  T8.A.1'!$H$4:$H$217)),"-")</f>
        <v>0</v>
      </c>
      <c r="O9" s="152" t="str">
        <f t="shared" si="0"/>
        <v>-</v>
      </c>
      <c r="S9" s="151"/>
    </row>
    <row r="10" spans="1:19">
      <c r="B10" s="142" t="s">
        <v>1401</v>
      </c>
      <c r="C10" s="122" t="s">
        <v>1399</v>
      </c>
      <c r="D10" s="150">
        <v>0.05</v>
      </c>
      <c r="E10" s="152" t="str">
        <f>IFERROR(IF(ISBLANK(C10)=TRUE(),0,_xlfn.XLOOKUP(C10,'1.4 AR5 CH8  T8.A.1'!$A$4:$A$217,'1.4 AR5 CH8  T8.A.1'!$H$4:$H$217)),"-")</f>
        <v>-</v>
      </c>
      <c r="F10" s="122" t="s">
        <v>738</v>
      </c>
      <c r="G10" s="150">
        <v>0.75</v>
      </c>
      <c r="H10" s="152">
        <f>IFERROR(IF(ISBLANK(F10)=TRUE(),0,_xlfn.XLOOKUP(F10,'1.4 AR5 CH8  T8.A.1'!$A$4:$A$217,'1.4 AR5 CH8  T8.A.1'!$H$4:$H$217)),"-")</f>
        <v>1760</v>
      </c>
      <c r="I10" s="122" t="s">
        <v>731</v>
      </c>
      <c r="J10" s="150">
        <v>0.2</v>
      </c>
      <c r="K10" s="152">
        <f>IFERROR(IF(ISBLANK(I10)=TRUE(),0,_xlfn.XLOOKUP(I10,'1.4 AR5 CH8  T8.A.1'!$A$4:$A$217,'1.4 AR5 CH8  T8.A.1'!$H$4:$H$217,)),"-")</f>
        <v>8900</v>
      </c>
      <c r="L10" s="122"/>
      <c r="M10" s="150">
        <v>0</v>
      </c>
      <c r="N10" s="152">
        <f>IFERROR(IF(ISBLANK(L10)=TRUE(),0,_xlfn.XLOOKUP(L10,'1.4 AR5 CH8  T8.A.1'!$A$4:$A$217,'1.4 AR5 CH8  T8.A.1'!$H$4:$H$217)),"-")</f>
        <v>0</v>
      </c>
      <c r="O10" s="152" t="str">
        <f t="shared" si="0"/>
        <v>-</v>
      </c>
      <c r="S10" s="151"/>
    </row>
    <row r="11" spans="1:19">
      <c r="B11" s="142" t="s">
        <v>1402</v>
      </c>
      <c r="C11" s="122" t="s">
        <v>1399</v>
      </c>
      <c r="D11" s="150">
        <v>0.05</v>
      </c>
      <c r="E11" s="152" t="str">
        <f>IFERROR(IF(ISBLANK(C11)=TRUE(),0,_xlfn.XLOOKUP(C11,'1.4 AR5 CH8  T8.A.1'!$A$4:$A$217,'1.4 AR5 CH8  T8.A.1'!$H$4:$H$217)),"-")</f>
        <v>-</v>
      </c>
      <c r="F11" s="122" t="s">
        <v>738</v>
      </c>
      <c r="G11" s="150">
        <v>0.56000000000000005</v>
      </c>
      <c r="H11" s="152">
        <f>IFERROR(IF(ISBLANK(F11)=TRUE(),0,_xlfn.XLOOKUP(F11,'1.4 AR5 CH8  T8.A.1'!$A$4:$A$217,'1.4 AR5 CH8  T8.A.1'!$H$4:$H$217)),"-")</f>
        <v>1760</v>
      </c>
      <c r="I11" s="122" t="s">
        <v>731</v>
      </c>
      <c r="J11" s="150">
        <v>0.39</v>
      </c>
      <c r="K11" s="152">
        <f>IFERROR(IF(ISBLANK(I11)=TRUE(),0,_xlfn.XLOOKUP(I11,'1.4 AR5 CH8  T8.A.1'!$A$4:$A$217,'1.4 AR5 CH8  T8.A.1'!$H$4:$H$217,)),"-")</f>
        <v>8900</v>
      </c>
      <c r="L11" s="122"/>
      <c r="M11" s="150">
        <v>0</v>
      </c>
      <c r="N11" s="152">
        <f>IFERROR(IF(ISBLANK(L11)=TRUE(),0,_xlfn.XLOOKUP(L11,'1.4 AR5 CH8  T8.A.1'!$A$4:$A$217,'1.4 AR5 CH8  T8.A.1'!$H$4:$H$217)),"-")</f>
        <v>0</v>
      </c>
      <c r="O11" s="152" t="str">
        <f t="shared" si="0"/>
        <v>-</v>
      </c>
    </row>
    <row r="12" spans="1:19">
      <c r="B12" s="142" t="s">
        <v>158</v>
      </c>
      <c r="C12" s="122" t="s">
        <v>153</v>
      </c>
      <c r="D12" s="150">
        <v>0.44</v>
      </c>
      <c r="E12" s="152">
        <f>IFERROR(IF(ISBLANK(C12)=TRUE(),0,_xlfn.XLOOKUP(C12,'1.4 AR5 CH8  T8.A.1'!$A$4:$A$217,'1.4 AR5 CH8  T8.A.1'!$H$4:$H$217)),"-")</f>
        <v>3170</v>
      </c>
      <c r="F12" s="122" t="s">
        <v>171</v>
      </c>
      <c r="G12" s="150">
        <v>0.52</v>
      </c>
      <c r="H12" s="152">
        <f>IFERROR(IF(ISBLANK(F12)=TRUE(),0,_xlfn.XLOOKUP(F12,'1.4 AR5 CH8  T8.A.1'!$A$4:$A$217,'1.4 AR5 CH8  T8.A.1'!$H$4:$H$217)),"-")</f>
        <v>4800</v>
      </c>
      <c r="I12" s="122" t="s">
        <v>169</v>
      </c>
      <c r="J12" s="150">
        <v>0.04</v>
      </c>
      <c r="K12" s="152">
        <f>IFERROR(IF(ISBLANK(I12)=TRUE(),0,_xlfn.XLOOKUP(I12,'1.4 AR5 CH8  T8.A.1'!$A$4:$A$217,'1.4 AR5 CH8  T8.A.1'!$H$4:$H$217,)),"-")</f>
        <v>1300</v>
      </c>
      <c r="L12" s="122"/>
      <c r="M12" s="150">
        <v>0</v>
      </c>
      <c r="N12" s="152">
        <f>IFERROR(IF(ISBLANK(L12)=TRUE(),0,_xlfn.XLOOKUP(L12,'1.4 AR5 CH8  T8.A.1'!$A$4:$A$217,'1.4 AR5 CH8  T8.A.1'!$H$4:$H$217)),"-")</f>
        <v>0</v>
      </c>
      <c r="O12" s="152">
        <f t="shared" si="0"/>
        <v>3942.8</v>
      </c>
    </row>
    <row r="13" spans="1:19">
      <c r="B13" s="142" t="s">
        <v>1403</v>
      </c>
      <c r="C13" s="122" t="s">
        <v>738</v>
      </c>
      <c r="D13" s="150">
        <v>0.45</v>
      </c>
      <c r="E13" s="152">
        <f>IFERROR(IF(ISBLANK(C13)=TRUE(),0,_xlfn.XLOOKUP(C13,'1.4 AR5 CH8  T8.A.1'!$A$4:$A$217,'1.4 AR5 CH8  T8.A.1'!$H$4:$H$217)),"-")</f>
        <v>1760</v>
      </c>
      <c r="F13" s="122" t="s">
        <v>172</v>
      </c>
      <c r="G13" s="150">
        <v>7.0000000000000007E-2</v>
      </c>
      <c r="H13" s="152">
        <f>IFERROR(IF(ISBLANK(F13)=TRUE(),0,_xlfn.XLOOKUP(F13,'1.4 AR5 CH8  T8.A.1'!$A$4:$A$217,'1.4 AR5 CH8  T8.A.1'!$H$4:$H$217)),"-")</f>
        <v>138</v>
      </c>
      <c r="I13" s="122" t="s">
        <v>190</v>
      </c>
      <c r="J13" s="150">
        <v>5.5E-2</v>
      </c>
      <c r="K13" s="152">
        <f>IFERROR(IF(ISBLANK(I13)=TRUE(),0,_xlfn.XLOOKUP(I13,'1.4 AR5 CH8  T8.A.1'!$A$4:$A$217,'1.4 AR5 CH8  T8.A.1'!$H$4:$H$217,)),"-")</f>
        <v>1980</v>
      </c>
      <c r="L13" s="122" t="s">
        <v>726</v>
      </c>
      <c r="M13" s="150">
        <v>0.42499999999999999</v>
      </c>
      <c r="N13" s="152">
        <f>IFERROR(IF(ISBLANK(L13)=TRUE(),0,_xlfn.XLOOKUP(L13,'1.4 AR5 CH8  T8.A.1'!$A$4:$A$217,'1.4 AR5 CH8  T8.A.1'!$H$4:$H$217)),"-")</f>
        <v>9540</v>
      </c>
      <c r="O13" s="152">
        <f t="shared" si="0"/>
        <v>4965.0599999999995</v>
      </c>
    </row>
    <row r="14" spans="1:19">
      <c r="B14" s="142" t="s">
        <v>1404</v>
      </c>
      <c r="C14" s="122" t="s">
        <v>738</v>
      </c>
      <c r="D14" s="150">
        <v>0.55000000000000004</v>
      </c>
      <c r="E14" s="152">
        <f>IFERROR(IF(ISBLANK(C14)=TRUE(),0,_xlfn.XLOOKUP(C14,'1.4 AR5 CH8  T8.A.1'!$A$4:$A$217,'1.4 AR5 CH8  T8.A.1'!$H$4:$H$217)),"-")</f>
        <v>1760</v>
      </c>
      <c r="F14" s="122" t="s">
        <v>1405</v>
      </c>
      <c r="G14" s="150">
        <v>0.14000000000000001</v>
      </c>
      <c r="H14" s="152" t="str">
        <f>IFERROR(IF(ISBLANK(F14)=TRUE(),0,_xlfn.XLOOKUP(F14,'1.4 AR5 CH8  T8.A.1'!$A$4:$A$217,'1.4 AR5 CH8  T8.A.1'!$H$4:$H$217)),"-")</f>
        <v>-</v>
      </c>
      <c r="I14" s="122" t="s">
        <v>190</v>
      </c>
      <c r="J14" s="150">
        <v>0.41</v>
      </c>
      <c r="K14" s="152">
        <f>IFERROR(IF(ISBLANK(I14)=TRUE(),0,_xlfn.XLOOKUP(I14,'1.4 AR5 CH8  T8.A.1'!$A$4:$A$217,'1.4 AR5 CH8  T8.A.1'!$H$4:$H$217,)),"-")</f>
        <v>1980</v>
      </c>
      <c r="L14" s="122"/>
      <c r="M14" s="150">
        <v>0</v>
      </c>
      <c r="N14" s="152">
        <f>IFERROR(IF(ISBLANK(L14)=TRUE(),0,_xlfn.XLOOKUP(L14,'1.4 AR5 CH8  T8.A.1'!$A$4:$A$217,'1.4 AR5 CH8  T8.A.1'!$H$4:$H$217)),"-")</f>
        <v>0</v>
      </c>
      <c r="O14" s="152" t="str">
        <f t="shared" si="0"/>
        <v>-</v>
      </c>
    </row>
    <row r="15" spans="1:19">
      <c r="B15" s="142" t="s">
        <v>159</v>
      </c>
      <c r="C15" s="122" t="s">
        <v>144</v>
      </c>
      <c r="D15" s="150">
        <v>0.2</v>
      </c>
      <c r="E15" s="152">
        <f>IFERROR(IF(ISBLANK(C15)=TRUE(),0,_xlfn.XLOOKUP(C15,'1.4 AR5 CH8  T8.A.1'!$A$4:$A$217,'1.4 AR5 CH8  T8.A.1'!$H$4:$H$217)),"-")</f>
        <v>677</v>
      </c>
      <c r="F15" s="122" t="s">
        <v>153</v>
      </c>
      <c r="G15" s="150">
        <v>0.4</v>
      </c>
      <c r="H15" s="152">
        <f>IFERROR(IF(ISBLANK(F15)=TRUE(),0,_xlfn.XLOOKUP(F15,'1.4 AR5 CH8  T8.A.1'!$A$4:$A$217,'1.4 AR5 CH8  T8.A.1'!$H$4:$H$217)),"-")</f>
        <v>3170</v>
      </c>
      <c r="I15" s="122" t="s">
        <v>169</v>
      </c>
      <c r="J15" s="150">
        <v>0.4</v>
      </c>
      <c r="K15" s="152">
        <f>IFERROR(IF(ISBLANK(I15)=TRUE(),0,_xlfn.XLOOKUP(I15,'1.4 AR5 CH8  T8.A.1'!$A$4:$A$217,'1.4 AR5 CH8  T8.A.1'!$H$4:$H$217,)),"-")</f>
        <v>1300</v>
      </c>
      <c r="L15" s="122"/>
      <c r="M15" s="150">
        <v>0</v>
      </c>
      <c r="N15" s="152">
        <f>IFERROR(IF(ISBLANK(L15)=TRUE(),0,_xlfn.XLOOKUP(L15,'1.4 AR5 CH8  T8.A.1'!$A$4:$A$217,'1.4 AR5 CH8  T8.A.1'!$H$4:$H$217)),"-")</f>
        <v>0</v>
      </c>
      <c r="O15" s="152">
        <f t="shared" si="0"/>
        <v>1923.4</v>
      </c>
    </row>
    <row r="16" spans="1:19">
      <c r="B16" s="142" t="s">
        <v>160</v>
      </c>
      <c r="C16" s="122" t="s">
        <v>144</v>
      </c>
      <c r="D16" s="150">
        <v>0.1</v>
      </c>
      <c r="E16" s="152">
        <f>IFERROR(IF(ISBLANK(C16)=TRUE(),0,_xlfn.XLOOKUP(C16,'1.4 AR5 CH8  T8.A.1'!$A$4:$A$217,'1.4 AR5 CH8  T8.A.1'!$H$4:$H$217)),"-")</f>
        <v>677</v>
      </c>
      <c r="F16" s="122" t="s">
        <v>153</v>
      </c>
      <c r="G16" s="150">
        <v>0.7</v>
      </c>
      <c r="H16" s="152">
        <f>IFERROR(IF(ISBLANK(F16)=TRUE(),0,_xlfn.XLOOKUP(F16,'1.4 AR5 CH8  T8.A.1'!$A$4:$A$217,'1.4 AR5 CH8  T8.A.1'!$H$4:$H$217)),"-")</f>
        <v>3170</v>
      </c>
      <c r="I16" s="122" t="s">
        <v>169</v>
      </c>
      <c r="J16" s="150">
        <v>0.2</v>
      </c>
      <c r="K16" s="152">
        <f>IFERROR(IF(ISBLANK(I16)=TRUE(),0,_xlfn.XLOOKUP(I16,'1.4 AR5 CH8  T8.A.1'!$A$4:$A$217,'1.4 AR5 CH8  T8.A.1'!$H$4:$H$217,)),"-")</f>
        <v>1300</v>
      </c>
      <c r="L16" s="122"/>
      <c r="M16" s="150">
        <v>0</v>
      </c>
      <c r="N16" s="152">
        <f>IFERROR(IF(ISBLANK(L16)=TRUE(),0,_xlfn.XLOOKUP(L16,'1.4 AR5 CH8  T8.A.1'!$A$4:$A$217,'1.4 AR5 CH8  T8.A.1'!$H$4:$H$217)),"-")</f>
        <v>0</v>
      </c>
      <c r="O16" s="152">
        <f t="shared" si="0"/>
        <v>2546.6999999999998</v>
      </c>
    </row>
    <row r="17" spans="2:15">
      <c r="B17" s="142" t="s">
        <v>161</v>
      </c>
      <c r="C17" s="122" t="s">
        <v>144</v>
      </c>
      <c r="D17" s="150">
        <v>0.23</v>
      </c>
      <c r="E17" s="152">
        <f>IFERROR(IF(ISBLANK(C17)=TRUE(),0,_xlfn.XLOOKUP(C17,'1.4 AR5 CH8  T8.A.1'!$A$4:$A$217,'1.4 AR5 CH8  T8.A.1'!$H$4:$H$217)),"-")</f>
        <v>677</v>
      </c>
      <c r="F17" s="122" t="s">
        <v>153</v>
      </c>
      <c r="G17" s="150">
        <v>0.25</v>
      </c>
      <c r="H17" s="152">
        <f>IFERROR(IF(ISBLANK(F17)=TRUE(),0,_xlfn.XLOOKUP(F17,'1.4 AR5 CH8  T8.A.1'!$A$4:$A$217,'1.4 AR5 CH8  T8.A.1'!$H$4:$H$217)),"-")</f>
        <v>3170</v>
      </c>
      <c r="I17" s="122" t="s">
        <v>169</v>
      </c>
      <c r="J17" s="150">
        <v>0.52</v>
      </c>
      <c r="K17" s="152">
        <f>IFERROR(IF(ISBLANK(I17)=TRUE(),0,_xlfn.XLOOKUP(I17,'1.4 AR5 CH8  T8.A.1'!$A$4:$A$217,'1.4 AR5 CH8  T8.A.1'!$H$4:$H$217,)),"-")</f>
        <v>1300</v>
      </c>
      <c r="L17" s="122"/>
      <c r="M17" s="150">
        <v>0</v>
      </c>
      <c r="N17" s="152">
        <f>IFERROR(IF(ISBLANK(L17)=TRUE(),0,_xlfn.XLOOKUP(L17,'1.4 AR5 CH8  T8.A.1'!$A$4:$A$217,'1.4 AR5 CH8  T8.A.1'!$H$4:$H$217)),"-")</f>
        <v>0</v>
      </c>
      <c r="O17" s="152">
        <f t="shared" si="0"/>
        <v>1624.21</v>
      </c>
    </row>
    <row r="18" spans="2:15">
      <c r="B18" s="142" t="s">
        <v>1406</v>
      </c>
      <c r="C18" s="122" t="s">
        <v>144</v>
      </c>
      <c r="D18" s="150">
        <v>0.15</v>
      </c>
      <c r="E18" s="152">
        <f>IFERROR(IF(ISBLANK(C18)=TRUE(),0,_xlfn.XLOOKUP(C18,'1.4 AR5 CH8  T8.A.1'!$A$4:$A$217,'1.4 AR5 CH8  T8.A.1'!$H$4:$H$217)),"-")</f>
        <v>677</v>
      </c>
      <c r="F18" s="122" t="s">
        <v>153</v>
      </c>
      <c r="G18" s="150">
        <v>0.15</v>
      </c>
      <c r="H18" s="152">
        <f>IFERROR(IF(ISBLANK(F18)=TRUE(),0,_xlfn.XLOOKUP(F18,'1.4 AR5 CH8  T8.A.1'!$A$4:$A$217,'1.4 AR5 CH8  T8.A.1'!$H$4:$H$217)),"-")</f>
        <v>3170</v>
      </c>
      <c r="I18" s="122" t="s">
        <v>169</v>
      </c>
      <c r="J18" s="150">
        <v>0.7</v>
      </c>
      <c r="K18" s="152">
        <f>IFERROR(IF(ISBLANK(I18)=TRUE(),0,_xlfn.XLOOKUP(I18,'1.4 AR5 CH8  T8.A.1'!$A$4:$A$217,'1.4 AR5 CH8  T8.A.1'!$H$4:$H$217,)),"-")</f>
        <v>1300</v>
      </c>
      <c r="L18" s="122"/>
      <c r="M18" s="150">
        <v>0</v>
      </c>
      <c r="N18" s="152">
        <f>IFERROR(IF(ISBLANK(L18)=TRUE(),0,_xlfn.XLOOKUP(L18,'1.4 AR5 CH8  T8.A.1'!$A$4:$A$217,'1.4 AR5 CH8  T8.A.1'!$H$4:$H$217)),"-")</f>
        <v>0</v>
      </c>
      <c r="O18" s="152">
        <f t="shared" si="0"/>
        <v>1487.0499999999997</v>
      </c>
    </row>
    <row r="19" spans="2:15">
      <c r="B19" s="142" t="s">
        <v>1407</v>
      </c>
      <c r="C19" s="122" t="s">
        <v>144</v>
      </c>
      <c r="D19" s="150">
        <v>0.25</v>
      </c>
      <c r="E19" s="152">
        <f>IFERROR(IF(ISBLANK(C19)=TRUE(),0,_xlfn.XLOOKUP(C19,'1.4 AR5 CH8  T8.A.1'!$A$4:$A$217,'1.4 AR5 CH8  T8.A.1'!$H$4:$H$217)),"-")</f>
        <v>677</v>
      </c>
      <c r="F19" s="122" t="s">
        <v>153</v>
      </c>
      <c r="G19" s="150">
        <v>0.15</v>
      </c>
      <c r="H19" s="152">
        <f>IFERROR(IF(ISBLANK(F19)=TRUE(),0,_xlfn.XLOOKUP(F19,'1.4 AR5 CH8  T8.A.1'!$A$4:$A$217,'1.4 AR5 CH8  T8.A.1'!$H$4:$H$217)),"-")</f>
        <v>3170</v>
      </c>
      <c r="I19" s="122" t="s">
        <v>169</v>
      </c>
      <c r="J19" s="150">
        <v>0.6</v>
      </c>
      <c r="K19" s="152">
        <f>IFERROR(IF(ISBLANK(I19)=TRUE(),0,_xlfn.XLOOKUP(I19,'1.4 AR5 CH8  T8.A.1'!$A$4:$A$217,'1.4 AR5 CH8  T8.A.1'!$H$4:$H$217,)),"-")</f>
        <v>1300</v>
      </c>
      <c r="L19" s="122"/>
      <c r="M19" s="150">
        <v>0</v>
      </c>
      <c r="N19" s="152">
        <f>IFERROR(IF(ISBLANK(L19)=TRUE(),0,_xlfn.XLOOKUP(L19,'1.4 AR5 CH8  T8.A.1'!$A$4:$A$217,'1.4 AR5 CH8  T8.A.1'!$H$4:$H$217)),"-")</f>
        <v>0</v>
      </c>
      <c r="O19" s="152">
        <f t="shared" si="0"/>
        <v>1424.75</v>
      </c>
    </row>
    <row r="20" spans="2:15">
      <c r="B20" s="142" t="s">
        <v>1408</v>
      </c>
      <c r="C20" s="122" t="s">
        <v>153</v>
      </c>
      <c r="D20" s="150">
        <v>7.0000000000000007E-2</v>
      </c>
      <c r="E20" s="152">
        <f>IFERROR(IF(ISBLANK(C20)=TRUE(),0,_xlfn.XLOOKUP(C20,'1.4 AR5 CH8  T8.A.1'!$A$4:$A$217,'1.4 AR5 CH8  T8.A.1'!$H$4:$H$217)),"-")</f>
        <v>3170</v>
      </c>
      <c r="F20" s="122" t="s">
        <v>171</v>
      </c>
      <c r="G20" s="150">
        <v>0.46</v>
      </c>
      <c r="H20" s="152">
        <f>IFERROR(IF(ISBLANK(F20)=TRUE(),0,_xlfn.XLOOKUP(F20,'1.4 AR5 CH8  T8.A.1'!$A$4:$A$217,'1.4 AR5 CH8  T8.A.1'!$H$4:$H$217)),"-")</f>
        <v>4800</v>
      </c>
      <c r="I20" s="122" t="s">
        <v>738</v>
      </c>
      <c r="J20" s="150">
        <v>0.47</v>
      </c>
      <c r="K20" s="152">
        <f>IFERROR(IF(ISBLANK(I20)=TRUE(),0,_xlfn.XLOOKUP(I20,'1.4 AR5 CH8  T8.A.1'!$A$4:$A$217,'1.4 AR5 CH8  T8.A.1'!$H$4:$H$217,)),"-")</f>
        <v>1760</v>
      </c>
      <c r="L20" s="122"/>
      <c r="M20" s="150">
        <v>0</v>
      </c>
      <c r="N20" s="152">
        <f>IFERROR(IF(ISBLANK(L20)=TRUE(),0,_xlfn.XLOOKUP(L20,'1.4 AR5 CH8  T8.A.1'!$A$4:$A$217,'1.4 AR5 CH8  T8.A.1'!$H$4:$H$217)),"-")</f>
        <v>0</v>
      </c>
      <c r="O20" s="152">
        <f t="shared" si="0"/>
        <v>3257.1</v>
      </c>
    </row>
    <row r="21" spans="2:15">
      <c r="B21" s="142" t="s">
        <v>1409</v>
      </c>
      <c r="C21" s="122" t="s">
        <v>738</v>
      </c>
      <c r="D21" s="150">
        <v>0.6</v>
      </c>
      <c r="E21" s="152">
        <f>IFERROR(IF(ISBLANK(C21)=TRUE(),0,_xlfn.XLOOKUP(C21,'1.4 AR5 CH8  T8.A.1'!$A$4:$A$217,'1.4 AR5 CH8  T8.A.1'!$H$4:$H$217)),"-")</f>
        <v>1760</v>
      </c>
      <c r="F21" s="122" t="s">
        <v>188</v>
      </c>
      <c r="G21" s="150">
        <v>0.25</v>
      </c>
      <c r="H21" s="152">
        <f>IFERROR(IF(ISBLANK(F21)=TRUE(),0,_xlfn.XLOOKUP(F21,'1.4 AR5 CH8  T8.A.1'!$A$4:$A$217,'1.4 AR5 CH8  T8.A.1'!$H$4:$H$217)),"-")</f>
        <v>527</v>
      </c>
      <c r="I21" s="122" t="s">
        <v>190</v>
      </c>
      <c r="J21" s="150">
        <v>0.15</v>
      </c>
      <c r="K21" s="152">
        <f>IFERROR(IF(ISBLANK(I21)=TRUE(),0,_xlfn.XLOOKUP(I21,'1.4 AR5 CH8  T8.A.1'!$A$4:$A$217,'1.4 AR5 CH8  T8.A.1'!$H$4:$H$217,)),"-")</f>
        <v>1980</v>
      </c>
      <c r="L21" s="122"/>
      <c r="M21" s="150">
        <v>0</v>
      </c>
      <c r="N21" s="152">
        <f>IFERROR(IF(ISBLANK(L21)=TRUE(),0,_xlfn.XLOOKUP(L21,'1.4 AR5 CH8  T8.A.1'!$A$4:$A$217,'1.4 AR5 CH8  T8.A.1'!$H$4:$H$217)),"-")</f>
        <v>0</v>
      </c>
      <c r="O21" s="152">
        <f t="shared" si="0"/>
        <v>1484.75</v>
      </c>
    </row>
    <row r="22" spans="2:15">
      <c r="B22" s="142" t="s">
        <v>1410</v>
      </c>
      <c r="C22" s="122" t="s">
        <v>738</v>
      </c>
      <c r="D22" s="150">
        <v>0.65</v>
      </c>
      <c r="E22" s="152">
        <f>IFERROR(IF(ISBLANK(C22)=TRUE(),0,_xlfn.XLOOKUP(C22,'1.4 AR5 CH8  T8.A.1'!$A$4:$A$217,'1.4 AR5 CH8  T8.A.1'!$H$4:$H$217)),"-")</f>
        <v>1760</v>
      </c>
      <c r="F22" s="122" t="s">
        <v>188</v>
      </c>
      <c r="G22" s="150">
        <v>0.25</v>
      </c>
      <c r="H22" s="152">
        <f>IFERROR(IF(ISBLANK(F22)=TRUE(),0,_xlfn.XLOOKUP(F22,'1.4 AR5 CH8  T8.A.1'!$A$4:$A$217,'1.4 AR5 CH8  T8.A.1'!$H$4:$H$217)),"-")</f>
        <v>527</v>
      </c>
      <c r="I22" s="122" t="s">
        <v>190</v>
      </c>
      <c r="J22" s="150">
        <v>0.1</v>
      </c>
      <c r="K22" s="152">
        <f>IFERROR(IF(ISBLANK(I22)=TRUE(),0,_xlfn.XLOOKUP(I22,'1.4 AR5 CH8  T8.A.1'!$A$4:$A$217,'1.4 AR5 CH8  T8.A.1'!$H$4:$H$217,)),"-")</f>
        <v>1980</v>
      </c>
      <c r="L22" s="122"/>
      <c r="M22" s="150">
        <v>0</v>
      </c>
      <c r="N22" s="152">
        <f>IFERROR(IF(ISBLANK(L22)=TRUE(),0,_xlfn.XLOOKUP(L22,'1.4 AR5 CH8  T8.A.1'!$A$4:$A$217,'1.4 AR5 CH8  T8.A.1'!$H$4:$H$217)),"-")</f>
        <v>0</v>
      </c>
      <c r="O22" s="152">
        <f t="shared" si="0"/>
        <v>1473.75</v>
      </c>
    </row>
    <row r="23" spans="2:15">
      <c r="B23" s="142" t="s">
        <v>162</v>
      </c>
      <c r="C23" s="122" t="s">
        <v>144</v>
      </c>
      <c r="D23" s="150">
        <v>0.5</v>
      </c>
      <c r="E23" s="152">
        <f>IFERROR(IF(ISBLANK(C23)=TRUE(),0,_xlfn.XLOOKUP(C23,'1.4 AR5 CH8  T8.A.1'!$A$4:$A$217,'1.4 AR5 CH8  T8.A.1'!$H$4:$H$217)),"-")</f>
        <v>677</v>
      </c>
      <c r="F23" s="122" t="s">
        <v>153</v>
      </c>
      <c r="G23" s="150">
        <v>0.5</v>
      </c>
      <c r="H23" s="152">
        <f>IFERROR(IF(ISBLANK(F23)=TRUE(),0,_xlfn.XLOOKUP(F23,'1.4 AR5 CH8  T8.A.1'!$A$4:$A$217,'1.4 AR5 CH8  T8.A.1'!$H$4:$H$217)),"-")</f>
        <v>3170</v>
      </c>
      <c r="I23" s="122"/>
      <c r="J23" s="150">
        <v>0</v>
      </c>
      <c r="K23" s="152">
        <f>IFERROR(IF(ISBLANK(I23)=TRUE(),0,_xlfn.XLOOKUP(I23,'1.4 AR5 CH8  T8.A.1'!$A$4:$A$217,'1.4 AR5 CH8  T8.A.1'!$H$4:$H$217,)),"-")</f>
        <v>0</v>
      </c>
      <c r="L23" s="122"/>
      <c r="M23" s="150">
        <v>0</v>
      </c>
      <c r="N23" s="152">
        <f>IFERROR(IF(ISBLANK(L23)=TRUE(),0,_xlfn.XLOOKUP(L23,'1.4 AR5 CH8  T8.A.1'!$A$4:$A$217,'1.4 AR5 CH8  T8.A.1'!$H$4:$H$217)),"-")</f>
        <v>0</v>
      </c>
      <c r="O23" s="152">
        <f t="shared" si="0"/>
        <v>1923.5</v>
      </c>
    </row>
    <row r="24" spans="2:15">
      <c r="B24" s="142" t="s">
        <v>163</v>
      </c>
      <c r="C24" s="122" t="s">
        <v>144</v>
      </c>
      <c r="D24" s="150">
        <v>0.45</v>
      </c>
      <c r="E24" s="152">
        <f>IFERROR(IF(ISBLANK(C24)=TRUE(),0,_xlfn.XLOOKUP(C24,'1.4 AR5 CH8  T8.A.1'!$A$4:$A$217,'1.4 AR5 CH8  T8.A.1'!$H$4:$H$217)),"-")</f>
        <v>677</v>
      </c>
      <c r="F24" s="122" t="s">
        <v>153</v>
      </c>
      <c r="G24" s="150">
        <v>0.55000000000000004</v>
      </c>
      <c r="H24" s="152">
        <f>IFERROR(IF(ISBLANK(F24)=TRUE(),0,_xlfn.XLOOKUP(F24,'1.4 AR5 CH8  T8.A.1'!$A$4:$A$217,'1.4 AR5 CH8  T8.A.1'!$H$4:$H$217)),"-")</f>
        <v>3170</v>
      </c>
      <c r="I24" s="122"/>
      <c r="J24" s="150">
        <v>0</v>
      </c>
      <c r="K24" s="152">
        <f>IFERROR(IF(ISBLANK(I24)=TRUE(),0,_xlfn.XLOOKUP(I24,'1.4 AR5 CH8  T8.A.1'!$A$4:$A$217,'1.4 AR5 CH8  T8.A.1'!$H$4:$H$217,)),"-")</f>
        <v>0</v>
      </c>
      <c r="L24" s="122"/>
      <c r="M24" s="150">
        <v>0</v>
      </c>
      <c r="N24" s="152">
        <f>IFERROR(IF(ISBLANK(L24)=TRUE(),0,_xlfn.XLOOKUP(L24,'1.4 AR5 CH8  T8.A.1'!$A$4:$A$217,'1.4 AR5 CH8  T8.A.1'!$H$4:$H$217)),"-")</f>
        <v>0</v>
      </c>
      <c r="O24" s="152">
        <f t="shared" si="0"/>
        <v>2048.15</v>
      </c>
    </row>
    <row r="25" spans="2:15">
      <c r="B25" s="142" t="s">
        <v>1411</v>
      </c>
      <c r="C25" s="122" t="s">
        <v>1412</v>
      </c>
      <c r="D25" s="150">
        <v>1.4999999999999999E-2</v>
      </c>
      <c r="E25" s="152" t="str">
        <f>IFERROR(IF(ISBLANK(C25)=TRUE(),0,_xlfn.XLOOKUP(C25,'1.4 AR5 CH8  T8.A.1'!$A$4:$A$217,'1.4 AR5 CH8  T8.A.1'!$H$4:$H$217)),"-")</f>
        <v>-</v>
      </c>
      <c r="F25" s="122" t="s">
        <v>738</v>
      </c>
      <c r="G25" s="150">
        <v>0.875</v>
      </c>
      <c r="H25" s="152">
        <f>IFERROR(IF(ISBLANK(F25)=TRUE(),0,_xlfn.XLOOKUP(F25,'1.4 AR5 CH8  T8.A.1'!$A$4:$A$217,'1.4 AR5 CH8  T8.A.1'!$H$4:$H$217)),"-")</f>
        <v>1760</v>
      </c>
      <c r="I25" s="122" t="s">
        <v>172</v>
      </c>
      <c r="J25" s="150">
        <v>0.11</v>
      </c>
      <c r="K25" s="152">
        <f>IFERROR(IF(ISBLANK(I25)=TRUE(),0,_xlfn.XLOOKUP(I25,'1.4 AR5 CH8  T8.A.1'!$A$4:$A$217,'1.4 AR5 CH8  T8.A.1'!$H$4:$H$217,)),"-")</f>
        <v>138</v>
      </c>
      <c r="L25" s="122"/>
      <c r="M25" s="150">
        <v>0</v>
      </c>
      <c r="N25" s="152">
        <f>IFERROR(IF(ISBLANK(L25)=TRUE(),0,_xlfn.XLOOKUP(L25,'1.4 AR5 CH8  T8.A.1'!$A$4:$A$217,'1.4 AR5 CH8  T8.A.1'!$H$4:$H$217)),"-")</f>
        <v>0</v>
      </c>
      <c r="O25" s="152" t="str">
        <f t="shared" si="0"/>
        <v>-</v>
      </c>
    </row>
    <row r="26" spans="2:15">
      <c r="B26" s="142" t="s">
        <v>1413</v>
      </c>
      <c r="C26" s="122" t="s">
        <v>1412</v>
      </c>
      <c r="D26" s="150">
        <v>0.03</v>
      </c>
      <c r="E26" s="152" t="str">
        <f>IFERROR(IF(ISBLANK(C26)=TRUE(),0,_xlfn.XLOOKUP(C26,'1.4 AR5 CH8  T8.A.1'!$A$4:$A$217,'1.4 AR5 CH8  T8.A.1'!$H$4:$H$217)),"-")</f>
        <v>-</v>
      </c>
      <c r="F26" s="122" t="s">
        <v>738</v>
      </c>
      <c r="G26" s="150">
        <v>0.94</v>
      </c>
      <c r="H26" s="152">
        <f>IFERROR(IF(ISBLANK(F26)=TRUE(),0,_xlfn.XLOOKUP(F26,'1.4 AR5 CH8  T8.A.1'!$A$4:$A$217,'1.4 AR5 CH8  T8.A.1'!$H$4:$H$217)),"-")</f>
        <v>1760</v>
      </c>
      <c r="I26" s="122" t="s">
        <v>172</v>
      </c>
      <c r="J26" s="150">
        <v>0.03</v>
      </c>
      <c r="K26" s="152">
        <f>IFERROR(IF(ISBLANK(I26)=TRUE(),0,_xlfn.XLOOKUP(I26,'1.4 AR5 CH8  T8.A.1'!$A$4:$A$217,'1.4 AR5 CH8  T8.A.1'!$H$4:$H$217,)),"-")</f>
        <v>138</v>
      </c>
      <c r="L26" s="122"/>
      <c r="M26" s="150">
        <v>0</v>
      </c>
      <c r="N26" s="152">
        <f>IFERROR(IF(ISBLANK(L26)=TRUE(),0,_xlfn.XLOOKUP(L26,'1.4 AR5 CH8  T8.A.1'!$A$4:$A$217,'1.4 AR5 CH8  T8.A.1'!$H$4:$H$217)),"-")</f>
        <v>0</v>
      </c>
      <c r="O26" s="152" t="str">
        <f t="shared" si="0"/>
        <v>-</v>
      </c>
    </row>
    <row r="27" spans="2:15">
      <c r="B27" s="142" t="s">
        <v>1414</v>
      </c>
      <c r="C27" s="122" t="s">
        <v>1412</v>
      </c>
      <c r="D27" s="150">
        <v>0.03</v>
      </c>
      <c r="E27" s="152" t="str">
        <f>IFERROR(IF(ISBLANK(C27)=TRUE(),0,_xlfn.XLOOKUP(C27,'1.4 AR5 CH8  T8.A.1'!$A$4:$A$217,'1.4 AR5 CH8  T8.A.1'!$H$4:$H$217)),"-")</f>
        <v>-</v>
      </c>
      <c r="F27" s="122" t="s">
        <v>738</v>
      </c>
      <c r="G27" s="150">
        <v>0.95499999999999996</v>
      </c>
      <c r="H27" s="152">
        <f>IFERROR(IF(ISBLANK(F27)=TRUE(),0,_xlfn.XLOOKUP(F27,'1.4 AR5 CH8  T8.A.1'!$A$4:$A$217,'1.4 AR5 CH8  T8.A.1'!$H$4:$H$217)),"-")</f>
        <v>1760</v>
      </c>
      <c r="I27" s="122" t="s">
        <v>172</v>
      </c>
      <c r="J27" s="150">
        <v>1.4999999999999999E-2</v>
      </c>
      <c r="K27" s="152">
        <f>IFERROR(IF(ISBLANK(I27)=TRUE(),0,_xlfn.XLOOKUP(I27,'1.4 AR5 CH8  T8.A.1'!$A$4:$A$217,'1.4 AR5 CH8  T8.A.1'!$H$4:$H$217,)),"-")</f>
        <v>138</v>
      </c>
      <c r="L27" s="122"/>
      <c r="M27" s="150">
        <v>0</v>
      </c>
      <c r="N27" s="152">
        <f>IFERROR(IF(ISBLANK(L27)=TRUE(),0,_xlfn.XLOOKUP(L27,'1.4 AR5 CH8  T8.A.1'!$A$4:$A$217,'1.4 AR5 CH8  T8.A.1'!$H$4:$H$217)),"-")</f>
        <v>0</v>
      </c>
      <c r="O27" s="152" t="str">
        <f t="shared" si="0"/>
        <v>-</v>
      </c>
    </row>
    <row r="28" spans="2:15">
      <c r="B28" s="142" t="s">
        <v>1415</v>
      </c>
      <c r="C28" s="122" t="s">
        <v>738</v>
      </c>
      <c r="D28" s="150">
        <v>0.7</v>
      </c>
      <c r="E28" s="152">
        <f>IFERROR(IF(ISBLANK(C28)=TRUE(),0,_xlfn.XLOOKUP(C28,'1.4 AR5 CH8  T8.A.1'!$A$4:$A$217,'1.4 AR5 CH8  T8.A.1'!$H$4:$H$217)),"-")</f>
        <v>1760</v>
      </c>
      <c r="F28" s="122" t="s">
        <v>731</v>
      </c>
      <c r="G28" s="150">
        <v>0.05</v>
      </c>
      <c r="H28" s="152">
        <f>IFERROR(IF(ISBLANK(F28)=TRUE(),0,_xlfn.XLOOKUP(F28,'1.4 AR5 CH8  T8.A.1'!$A$4:$A$217,'1.4 AR5 CH8  T8.A.1'!$H$4:$H$217)),"-")</f>
        <v>8900</v>
      </c>
      <c r="I28" s="122" t="s">
        <v>190</v>
      </c>
      <c r="J28" s="150">
        <v>0.25</v>
      </c>
      <c r="K28" s="152">
        <f>IFERROR(IF(ISBLANK(I28)=TRUE(),0,_xlfn.XLOOKUP(I28,'1.4 AR5 CH8  T8.A.1'!$A$4:$A$217,'1.4 AR5 CH8  T8.A.1'!$H$4:$H$217,)),"-")</f>
        <v>1980</v>
      </c>
      <c r="L28" s="122"/>
      <c r="M28" s="150">
        <v>0</v>
      </c>
      <c r="N28" s="152">
        <f>IFERROR(IF(ISBLANK(L28)=TRUE(),0,_xlfn.XLOOKUP(L28,'1.4 AR5 CH8  T8.A.1'!$A$4:$A$217,'1.4 AR5 CH8  T8.A.1'!$H$4:$H$217)),"-")</f>
        <v>0</v>
      </c>
      <c r="O28" s="152">
        <f t="shared" si="0"/>
        <v>2172</v>
      </c>
    </row>
    <row r="29" spans="2:15">
      <c r="B29" s="142" t="s">
        <v>1416</v>
      </c>
      <c r="C29" s="122" t="s">
        <v>731</v>
      </c>
      <c r="D29" s="150">
        <v>0.09</v>
      </c>
      <c r="E29" s="152">
        <f>IFERROR(IF(ISBLANK(C29)=TRUE(),0,_xlfn.XLOOKUP(C29,'1.4 AR5 CH8  T8.A.1'!$A$4:$A$217,'1.4 AR5 CH8  T8.A.1'!$H$4:$H$217)),"-")</f>
        <v>8900</v>
      </c>
      <c r="F29" s="122" t="s">
        <v>169</v>
      </c>
      <c r="G29" s="150">
        <v>0.88</v>
      </c>
      <c r="H29" s="152">
        <f>IFERROR(IF(ISBLANK(F29)=TRUE(),0,_xlfn.XLOOKUP(F29,'1.4 AR5 CH8  T8.A.1'!$A$4:$A$217,'1.4 AR5 CH8  T8.A.1'!$H$4:$H$217)),"-")</f>
        <v>1300</v>
      </c>
      <c r="I29" s="122" t="s">
        <v>1405</v>
      </c>
      <c r="J29" s="150">
        <v>0.03</v>
      </c>
      <c r="K29" s="152" t="str">
        <f>IFERROR(IF(ISBLANK(I29)=TRUE(),0,_xlfn.XLOOKUP(I29,'1.4 AR5 CH8  T8.A.1'!$A$4:$A$217,'1.4 AR5 CH8  T8.A.1'!$H$4:$H$217,)),"-")</f>
        <v>-</v>
      </c>
      <c r="L29" s="122"/>
      <c r="M29" s="150">
        <v>0</v>
      </c>
      <c r="N29" s="152">
        <f>IFERROR(IF(ISBLANK(L29)=TRUE(),0,_xlfn.XLOOKUP(L29,'1.4 AR5 CH8  T8.A.1'!$A$4:$A$217,'1.4 AR5 CH8  T8.A.1'!$H$4:$H$217)),"-")</f>
        <v>0</v>
      </c>
      <c r="O29" s="152" t="str">
        <f t="shared" si="0"/>
        <v>-</v>
      </c>
    </row>
    <row r="30" spans="2:15">
      <c r="B30" s="142" t="s">
        <v>1417</v>
      </c>
      <c r="C30" s="122" t="s">
        <v>738</v>
      </c>
      <c r="D30" s="150">
        <v>0.51</v>
      </c>
      <c r="E30" s="152">
        <f>IFERROR(IF(ISBLANK(C30)=TRUE(),0,_xlfn.XLOOKUP(C30,'1.4 AR5 CH8  T8.A.1'!$A$4:$A$217,'1.4 AR5 CH8  T8.A.1'!$H$4:$H$217)),"-")</f>
        <v>1760</v>
      </c>
      <c r="F30" s="122" t="s">
        <v>188</v>
      </c>
      <c r="G30" s="150">
        <v>0.28499999999999998</v>
      </c>
      <c r="H30" s="152">
        <f>IFERROR(IF(ISBLANK(F30)=TRUE(),0,_xlfn.XLOOKUP(F30,'1.4 AR5 CH8  T8.A.1'!$A$4:$A$217,'1.4 AR5 CH8  T8.A.1'!$H$4:$H$217)),"-")</f>
        <v>527</v>
      </c>
      <c r="I30" s="122" t="s">
        <v>1405</v>
      </c>
      <c r="J30" s="150">
        <v>0.04</v>
      </c>
      <c r="K30" s="152" t="str">
        <f>IFERROR(IF(ISBLANK(I30)=TRUE(),0,_xlfn.XLOOKUP(I30,'1.4 AR5 CH8  T8.A.1'!$A$4:$A$217,'1.4 AR5 CH8  T8.A.1'!$H$4:$H$217,)),"-")</f>
        <v>-</v>
      </c>
      <c r="L30" s="122" t="s">
        <v>190</v>
      </c>
      <c r="M30" s="150">
        <v>0.16500000000000001</v>
      </c>
      <c r="N30" s="152">
        <f>IFERROR(IF(ISBLANK(L30)=TRUE(),0,_xlfn.XLOOKUP(L30,'1.4 AR5 CH8  T8.A.1'!$A$4:$A$217,'1.4 AR5 CH8  T8.A.1'!$H$4:$H$217)),"-")</f>
        <v>1980</v>
      </c>
      <c r="O30" s="152" t="str">
        <f t="shared" si="0"/>
        <v>-</v>
      </c>
    </row>
    <row r="31" spans="2:15">
      <c r="B31" s="142" t="s">
        <v>1418</v>
      </c>
      <c r="C31" s="122" t="s">
        <v>738</v>
      </c>
      <c r="D31" s="150">
        <v>0.5</v>
      </c>
      <c r="E31" s="152">
        <f>IFERROR(IF(ISBLANK(C31)=TRUE(),0,_xlfn.XLOOKUP(C31,'1.4 AR5 CH8  T8.A.1'!$A$4:$A$217,'1.4 AR5 CH8  T8.A.1'!$H$4:$H$217)),"-")</f>
        <v>1760</v>
      </c>
      <c r="F31" s="122" t="s">
        <v>188</v>
      </c>
      <c r="G31" s="150">
        <v>0.39</v>
      </c>
      <c r="H31" s="152">
        <f>IFERROR(IF(ISBLANK(F31)=TRUE(),0,_xlfn.XLOOKUP(F31,'1.4 AR5 CH8  T8.A.1'!$A$4:$A$217,'1.4 AR5 CH8  T8.A.1'!$H$4:$H$217)),"-")</f>
        <v>527</v>
      </c>
      <c r="I31" s="122" t="s">
        <v>1405</v>
      </c>
      <c r="J31" s="150">
        <v>1.4999999999999999E-2</v>
      </c>
      <c r="K31" s="152" t="str">
        <f>IFERROR(IF(ISBLANK(I31)=TRUE(),0,_xlfn.XLOOKUP(I31,'1.4 AR5 CH8  T8.A.1'!$A$4:$A$217,'1.4 AR5 CH8  T8.A.1'!$H$4:$H$217,)),"-")</f>
        <v>-</v>
      </c>
      <c r="L31" s="122" t="s">
        <v>190</v>
      </c>
      <c r="M31" s="150">
        <v>9.5000000000000001E-2</v>
      </c>
      <c r="N31" s="152">
        <f>IFERROR(IF(ISBLANK(L31)=TRUE(),0,_xlfn.XLOOKUP(L31,'1.4 AR5 CH8  T8.A.1'!$A$4:$A$217,'1.4 AR5 CH8  T8.A.1'!$H$4:$H$217)),"-")</f>
        <v>1980</v>
      </c>
      <c r="O31" s="152" t="str">
        <f t="shared" si="0"/>
        <v>-</v>
      </c>
    </row>
    <row r="32" spans="2:15">
      <c r="B32" s="142" t="s">
        <v>1419</v>
      </c>
      <c r="C32" s="122" t="s">
        <v>738</v>
      </c>
      <c r="D32" s="150">
        <v>0.82</v>
      </c>
      <c r="E32" s="152">
        <f>IFERROR(IF(ISBLANK(C32)=TRUE(),0,_xlfn.XLOOKUP(C32,'1.4 AR5 CH8  T8.A.1'!$A$4:$A$217,'1.4 AR5 CH8  T8.A.1'!$H$4:$H$217)),"-")</f>
        <v>1760</v>
      </c>
      <c r="F32" s="122" t="s">
        <v>172</v>
      </c>
      <c r="G32" s="150">
        <v>0.18</v>
      </c>
      <c r="H32" s="152">
        <f>IFERROR(IF(ISBLANK(F32)=TRUE(),0,_xlfn.XLOOKUP(F32,'1.4 AR5 CH8  T8.A.1'!$A$4:$A$217,'1.4 AR5 CH8  T8.A.1'!$H$4:$H$217)),"-")</f>
        <v>138</v>
      </c>
      <c r="I32" s="122"/>
      <c r="J32" s="150">
        <v>0</v>
      </c>
      <c r="K32" s="152">
        <f>IFERROR(IF(ISBLANK(I32)=TRUE(),0,_xlfn.XLOOKUP(I32,'1.4 AR5 CH8  T8.A.1'!$A$4:$A$217,'1.4 AR5 CH8  T8.A.1'!$H$4:$H$217,)),"-")</f>
        <v>0</v>
      </c>
      <c r="L32" s="122"/>
      <c r="M32" s="150">
        <v>0</v>
      </c>
      <c r="N32" s="152">
        <f>IFERROR(IF(ISBLANK(L32)=TRUE(),0,_xlfn.XLOOKUP(L32,'1.4 AR5 CH8  T8.A.1'!$A$4:$A$217,'1.4 AR5 CH8  T8.A.1'!$H$4:$H$217)),"-")</f>
        <v>0</v>
      </c>
      <c r="O32" s="152">
        <f t="shared" si="0"/>
        <v>1468.0399999999997</v>
      </c>
    </row>
    <row r="33" spans="2:15">
      <c r="B33" s="142" t="s">
        <v>1420</v>
      </c>
      <c r="C33" s="122" t="s">
        <v>738</v>
      </c>
      <c r="D33" s="150">
        <v>0.25</v>
      </c>
      <c r="E33" s="152">
        <f>IFERROR(IF(ISBLANK(C33)=TRUE(),0,_xlfn.XLOOKUP(C33,'1.4 AR5 CH8  T8.A.1'!$A$4:$A$217,'1.4 AR5 CH8  T8.A.1'!$H$4:$H$217)),"-")</f>
        <v>1760</v>
      </c>
      <c r="F33" s="122" t="s">
        <v>172</v>
      </c>
      <c r="G33" s="150">
        <v>0.75</v>
      </c>
      <c r="H33" s="152">
        <f>IFERROR(IF(ISBLANK(F33)=TRUE(),0,_xlfn.XLOOKUP(F33,'1.4 AR5 CH8  T8.A.1'!$A$4:$A$217,'1.4 AR5 CH8  T8.A.1'!$H$4:$H$217)),"-")</f>
        <v>138</v>
      </c>
      <c r="I33" s="122"/>
      <c r="J33" s="150">
        <v>0</v>
      </c>
      <c r="K33" s="152">
        <f>IFERROR(IF(ISBLANK(I33)=TRUE(),0,_xlfn.XLOOKUP(I33,'1.4 AR5 CH8  T8.A.1'!$A$4:$A$217,'1.4 AR5 CH8  T8.A.1'!$H$4:$H$217,)),"-")</f>
        <v>0</v>
      </c>
      <c r="L33" s="122"/>
      <c r="M33" s="150">
        <v>0</v>
      </c>
      <c r="N33" s="152">
        <f>IFERROR(IF(ISBLANK(L33)=TRUE(),0,_xlfn.XLOOKUP(L33,'1.4 AR5 CH8  T8.A.1'!$A$4:$A$217,'1.4 AR5 CH8  T8.A.1'!$H$4:$H$217)),"-")</f>
        <v>0</v>
      </c>
      <c r="O33" s="152">
        <f t="shared" si="0"/>
        <v>543.5</v>
      </c>
    </row>
    <row r="34" spans="2:15">
      <c r="B34" s="142" t="s">
        <v>1421</v>
      </c>
      <c r="C34" s="122" t="s">
        <v>169</v>
      </c>
      <c r="D34" s="150">
        <v>0.59</v>
      </c>
      <c r="E34" s="152">
        <f>IFERROR(IF(ISBLANK(C34)=TRUE(),0,_xlfn.XLOOKUP(C34,'1.4 AR5 CH8  T8.A.1'!$A$4:$A$217,'1.4 AR5 CH8  T8.A.1'!$H$4:$H$217)),"-")</f>
        <v>1300</v>
      </c>
      <c r="F34" s="122" t="s">
        <v>188</v>
      </c>
      <c r="G34" s="150">
        <v>0.39500000000000002</v>
      </c>
      <c r="H34" s="152">
        <f>IFERROR(IF(ISBLANK(F34)=TRUE(),0,_xlfn.XLOOKUP(F34,'1.4 AR5 CH8  T8.A.1'!$A$4:$A$217,'1.4 AR5 CH8  T8.A.1'!$H$4:$H$217)),"-")</f>
        <v>527</v>
      </c>
      <c r="I34" s="122" t="s">
        <v>1422</v>
      </c>
      <c r="J34" s="150">
        <v>1.4999999999999999E-2</v>
      </c>
      <c r="K34" s="152" t="str">
        <f>IFERROR(IF(ISBLANK(I34)=TRUE(),0,_xlfn.XLOOKUP(I34,'1.4 AR5 CH8  T8.A.1'!$A$4:$A$217,'1.4 AR5 CH8  T8.A.1'!$H$4:$H$217,)),"-")</f>
        <v>-</v>
      </c>
      <c r="L34" s="122"/>
      <c r="M34" s="150">
        <v>0</v>
      </c>
      <c r="N34" s="152">
        <f>IFERROR(IF(ISBLANK(L34)=TRUE(),0,_xlfn.XLOOKUP(L34,'1.4 AR5 CH8  T8.A.1'!$A$4:$A$217,'1.4 AR5 CH8  T8.A.1'!$H$4:$H$217)),"-")</f>
        <v>0</v>
      </c>
      <c r="O34" s="152" t="str">
        <f t="shared" si="0"/>
        <v>-</v>
      </c>
    </row>
    <row r="35" spans="2:15">
      <c r="B35" s="142" t="s">
        <v>1423</v>
      </c>
      <c r="C35" s="122" t="s">
        <v>153</v>
      </c>
      <c r="D35" s="150">
        <v>0.46600000000000003</v>
      </c>
      <c r="E35" s="152">
        <f>IFERROR(IF(ISBLANK(C35)=TRUE(),0,_xlfn.XLOOKUP(C35,'1.4 AR5 CH8  T8.A.1'!$A$4:$A$217,'1.4 AR5 CH8  T8.A.1'!$H$4:$H$217)),"-")</f>
        <v>3170</v>
      </c>
      <c r="F35" s="122" t="s">
        <v>169</v>
      </c>
      <c r="G35" s="150">
        <v>0.5</v>
      </c>
      <c r="H35" s="152">
        <f>IFERROR(IF(ISBLANK(F35)=TRUE(),0,_xlfn.XLOOKUP(F35,'1.4 AR5 CH8  T8.A.1'!$A$4:$A$217,'1.4 AR5 CH8  T8.A.1'!$H$4:$H$217)),"-")</f>
        <v>1300</v>
      </c>
      <c r="I35" s="122" t="s">
        <v>1422</v>
      </c>
      <c r="J35" s="150">
        <v>3.4000000000000002E-2</v>
      </c>
      <c r="K35" s="152" t="str">
        <f>IFERROR(IF(ISBLANK(I35)=TRUE(),0,_xlfn.XLOOKUP(I35,'1.4 AR5 CH8  T8.A.1'!$A$4:$A$217,'1.4 AR5 CH8  T8.A.1'!$H$4:$H$217,)),"-")</f>
        <v>-</v>
      </c>
      <c r="L35" s="122"/>
      <c r="M35" s="150">
        <v>0</v>
      </c>
      <c r="N35" s="152">
        <f>IFERROR(IF(ISBLANK(L35)=TRUE(),0,_xlfn.XLOOKUP(L35,'1.4 AR5 CH8  T8.A.1'!$A$4:$A$217,'1.4 AR5 CH8  T8.A.1'!$H$4:$H$217)),"-")</f>
        <v>0</v>
      </c>
      <c r="O35" s="152" t="str">
        <f t="shared" si="0"/>
        <v>-</v>
      </c>
    </row>
    <row r="36" spans="2:15">
      <c r="B36" s="142" t="s">
        <v>1424</v>
      </c>
      <c r="C36" s="122" t="s">
        <v>1399</v>
      </c>
      <c r="D36" s="150">
        <v>1.4999999999999999E-2</v>
      </c>
      <c r="E36" s="152" t="str">
        <f>IFERROR(IF(ISBLANK(C36)=TRUE(),0,_xlfn.XLOOKUP(C36,'1.4 AR5 CH8  T8.A.1'!$A$4:$A$217,'1.4 AR5 CH8  T8.A.1'!$H$4:$H$217)),"-")</f>
        <v>-</v>
      </c>
      <c r="F36" s="122" t="s">
        <v>738</v>
      </c>
      <c r="G36" s="150">
        <v>0.96</v>
      </c>
      <c r="H36" s="152">
        <f>IFERROR(IF(ISBLANK(F36)=TRUE(),0,_xlfn.XLOOKUP(F36,'1.4 AR5 CH8  T8.A.1'!$A$4:$A$217,'1.4 AR5 CH8  T8.A.1'!$H$4:$H$217)),"-")</f>
        <v>1760</v>
      </c>
      <c r="I36" s="122" t="s">
        <v>172</v>
      </c>
      <c r="J36" s="150">
        <v>2.5000000000000001E-2</v>
      </c>
      <c r="K36" s="152">
        <f>IFERROR(IF(ISBLANK(I36)=TRUE(),0,_xlfn.XLOOKUP(I36,'1.4 AR5 CH8  T8.A.1'!$A$4:$A$217,'1.4 AR5 CH8  T8.A.1'!$H$4:$H$217,)),"-")</f>
        <v>138</v>
      </c>
      <c r="L36" s="122"/>
      <c r="M36" s="150">
        <v>0</v>
      </c>
      <c r="N36" s="152">
        <f>IFERROR(IF(ISBLANK(L36)=TRUE(),0,_xlfn.XLOOKUP(L36,'1.4 AR5 CH8  T8.A.1'!$A$4:$A$217,'1.4 AR5 CH8  T8.A.1'!$H$4:$H$217)),"-")</f>
        <v>0</v>
      </c>
      <c r="O36" s="152" t="str">
        <f t="shared" si="0"/>
        <v>-</v>
      </c>
    </row>
    <row r="37" spans="2:15">
      <c r="B37" s="142" t="s">
        <v>1425</v>
      </c>
      <c r="C37" s="122" t="s">
        <v>153</v>
      </c>
      <c r="D37" s="150">
        <v>0.77</v>
      </c>
      <c r="E37" s="152">
        <f>IFERROR(IF(ISBLANK(C37)=TRUE(),0,_xlfn.XLOOKUP(C37,'1.4 AR5 CH8  T8.A.1'!$A$4:$A$217,'1.4 AR5 CH8  T8.A.1'!$H$4:$H$217)),"-")</f>
        <v>3170</v>
      </c>
      <c r="F37" s="122" t="s">
        <v>169</v>
      </c>
      <c r="G37" s="150">
        <v>0.19</v>
      </c>
      <c r="H37" s="152">
        <f>IFERROR(IF(ISBLANK(F37)=TRUE(),0,_xlfn.XLOOKUP(F37,'1.4 AR5 CH8  T8.A.1'!$A$4:$A$217,'1.4 AR5 CH8  T8.A.1'!$H$4:$H$217)),"-")</f>
        <v>1300</v>
      </c>
      <c r="I37" s="122" t="s">
        <v>1426</v>
      </c>
      <c r="J37" s="150">
        <v>0.04</v>
      </c>
      <c r="K37" s="152" t="str">
        <f>IFERROR(IF(ISBLANK(I37)=TRUE(),0,_xlfn.XLOOKUP(I37,'1.4 AR5 CH8  T8.A.1'!$A$4:$A$217,'1.4 AR5 CH8  T8.A.1'!$H$4:$H$217,)),"-")</f>
        <v>-</v>
      </c>
      <c r="L37" s="122"/>
      <c r="M37" s="150">
        <v>0</v>
      </c>
      <c r="N37" s="152">
        <f>IFERROR(IF(ISBLANK(L37)=TRUE(),0,_xlfn.XLOOKUP(L37,'1.4 AR5 CH8  T8.A.1'!$A$4:$A$217,'1.4 AR5 CH8  T8.A.1'!$H$4:$H$217)),"-")</f>
        <v>0</v>
      </c>
      <c r="O37" s="152" t="str">
        <f t="shared" si="0"/>
        <v>-</v>
      </c>
    </row>
    <row r="38" spans="2:15">
      <c r="B38" s="142" t="s">
        <v>1427</v>
      </c>
      <c r="C38" s="122" t="s">
        <v>169</v>
      </c>
      <c r="D38" s="150">
        <v>0.88</v>
      </c>
      <c r="E38" s="152">
        <f>IFERROR(IF(ISBLANK(C38)=TRUE(),0,_xlfn.XLOOKUP(C38,'1.4 AR5 CH8  T8.A.1'!$A$4:$A$217,'1.4 AR5 CH8  T8.A.1'!$H$4:$H$217)),"-")</f>
        <v>1300</v>
      </c>
      <c r="F38" s="122" t="s">
        <v>190</v>
      </c>
      <c r="G38" s="150">
        <v>0.12</v>
      </c>
      <c r="H38" s="152">
        <f>IFERROR(IF(ISBLANK(F38)=TRUE(),0,_xlfn.XLOOKUP(F38,'1.4 AR5 CH8  T8.A.1'!$A$4:$A$217,'1.4 AR5 CH8  T8.A.1'!$H$4:$H$217)),"-")</f>
        <v>1980</v>
      </c>
      <c r="I38" s="122"/>
      <c r="J38" s="150">
        <v>0</v>
      </c>
      <c r="K38" s="152">
        <f>IFERROR(IF(ISBLANK(I38)=TRUE(),0,_xlfn.XLOOKUP(I38,'1.4 AR5 CH8  T8.A.1'!$A$4:$A$217,'1.4 AR5 CH8  T8.A.1'!$H$4:$H$217,)),"-")</f>
        <v>0</v>
      </c>
      <c r="L38" s="122"/>
      <c r="M38" s="150">
        <v>0</v>
      </c>
      <c r="N38" s="152">
        <f>IFERROR(IF(ISBLANK(L38)=TRUE(),0,_xlfn.XLOOKUP(L38,'1.4 AR5 CH8  T8.A.1'!$A$4:$A$217,'1.4 AR5 CH8  T8.A.1'!$H$4:$H$217)),"-")</f>
        <v>0</v>
      </c>
      <c r="O38" s="152">
        <f t="shared" si="0"/>
        <v>1381.6</v>
      </c>
    </row>
    <row r="39" spans="2:15">
      <c r="B39" s="142" t="s">
        <v>1428</v>
      </c>
      <c r="C39" s="122" t="s">
        <v>153</v>
      </c>
      <c r="D39" s="150">
        <v>0.57999999999999996</v>
      </c>
      <c r="E39" s="152">
        <f>IFERROR(IF(ISBLANK(C39)=TRUE(),0,_xlfn.XLOOKUP(C39,'1.4 AR5 CH8  T8.A.1'!$A$4:$A$217,'1.4 AR5 CH8  T8.A.1'!$H$4:$H$217)),"-")</f>
        <v>3170</v>
      </c>
      <c r="F39" s="122" t="s">
        <v>169</v>
      </c>
      <c r="G39" s="150">
        <v>0.42</v>
      </c>
      <c r="H39" s="152">
        <f>IFERROR(IF(ISBLANK(F39)=TRUE(),0,_xlfn.XLOOKUP(F39,'1.4 AR5 CH8  T8.A.1'!$A$4:$A$217,'1.4 AR5 CH8  T8.A.1'!$H$4:$H$217)),"-")</f>
        <v>1300</v>
      </c>
      <c r="I39" s="122"/>
      <c r="J39" s="150">
        <v>0</v>
      </c>
      <c r="K39" s="152">
        <f>IFERROR(IF(ISBLANK(I39)=TRUE(),0,_xlfn.XLOOKUP(I39,'1.4 AR5 CH8  T8.A.1'!$A$4:$A$217,'1.4 AR5 CH8  T8.A.1'!$H$4:$H$217,)),"-")</f>
        <v>0</v>
      </c>
      <c r="L39" s="122"/>
      <c r="M39" s="150">
        <v>0</v>
      </c>
      <c r="N39" s="152">
        <f>IFERROR(IF(ISBLANK(L39)=TRUE(),0,_xlfn.XLOOKUP(L39,'1.4 AR5 CH8  T8.A.1'!$A$4:$A$217,'1.4 AR5 CH8  T8.A.1'!$H$4:$H$217)),"-")</f>
        <v>0</v>
      </c>
      <c r="O39" s="152">
        <f t="shared" si="0"/>
        <v>2384.6</v>
      </c>
    </row>
    <row r="40" spans="2:15">
      <c r="B40" s="142" t="s">
        <v>1429</v>
      </c>
      <c r="C40" s="122" t="s">
        <v>153</v>
      </c>
      <c r="D40" s="150">
        <v>0.85</v>
      </c>
      <c r="E40" s="152">
        <f>IFERROR(IF(ISBLANK(C40)=TRUE(),0,_xlfn.XLOOKUP(C40,'1.4 AR5 CH8  T8.A.1'!$A$4:$A$217,'1.4 AR5 CH8  T8.A.1'!$H$4:$H$217)),"-")</f>
        <v>3170</v>
      </c>
      <c r="F40" s="122" t="s">
        <v>169</v>
      </c>
      <c r="G40" s="150">
        <v>0.15</v>
      </c>
      <c r="H40" s="152">
        <f>IFERROR(IF(ISBLANK(F40)=TRUE(),0,_xlfn.XLOOKUP(F40,'1.4 AR5 CH8  T8.A.1'!$A$4:$A$217,'1.4 AR5 CH8  T8.A.1'!$H$4:$H$217)),"-")</f>
        <v>1300</v>
      </c>
      <c r="I40" s="122"/>
      <c r="J40" s="150">
        <v>0</v>
      </c>
      <c r="K40" s="152">
        <f>IFERROR(IF(ISBLANK(I40)=TRUE(),0,_xlfn.XLOOKUP(I40,'1.4 AR5 CH8  T8.A.1'!$A$4:$A$217,'1.4 AR5 CH8  T8.A.1'!$H$4:$H$217,)),"-")</f>
        <v>0</v>
      </c>
      <c r="L40" s="122"/>
      <c r="M40" s="150">
        <v>0</v>
      </c>
      <c r="N40" s="152">
        <f>IFERROR(IF(ISBLANK(L40)=TRUE(),0,_xlfn.XLOOKUP(L40,'1.4 AR5 CH8  T8.A.1'!$A$4:$A$217,'1.4 AR5 CH8  T8.A.1'!$H$4:$H$217)),"-")</f>
        <v>0</v>
      </c>
      <c r="O40" s="152">
        <f t="shared" si="0"/>
        <v>2889.5</v>
      </c>
    </row>
    <row r="41" spans="2:15">
      <c r="B41" s="142" t="s">
        <v>1430</v>
      </c>
      <c r="C41" s="122" t="s">
        <v>153</v>
      </c>
      <c r="D41" s="150">
        <v>0.85099999999999998</v>
      </c>
      <c r="E41" s="152">
        <f>IFERROR(IF(ISBLANK(C41)=TRUE(),0,_xlfn.XLOOKUP(C41,'1.4 AR5 CH8  T8.A.1'!$A$4:$A$217,'1.4 AR5 CH8  T8.A.1'!$H$4:$H$217)),"-")</f>
        <v>3170</v>
      </c>
      <c r="F41" s="122" t="s">
        <v>169</v>
      </c>
      <c r="G41" s="150">
        <v>0.115</v>
      </c>
      <c r="H41" s="152">
        <f>IFERROR(IF(ISBLANK(F41)=TRUE(),0,_xlfn.XLOOKUP(F41,'1.4 AR5 CH8  T8.A.1'!$A$4:$A$217,'1.4 AR5 CH8  T8.A.1'!$H$4:$H$217)),"-")</f>
        <v>1300</v>
      </c>
      <c r="I41" s="122" t="s">
        <v>1405</v>
      </c>
      <c r="J41" s="150">
        <v>3.4000000000000002E-2</v>
      </c>
      <c r="K41" s="152" t="str">
        <f>IFERROR(IF(ISBLANK(I41)=TRUE(),0,_xlfn.XLOOKUP(I41,'1.4 AR5 CH8  T8.A.1'!$A$4:$A$217,'1.4 AR5 CH8  T8.A.1'!$H$4:$H$217,)),"-")</f>
        <v>-</v>
      </c>
      <c r="L41" s="122"/>
      <c r="M41" s="150">
        <v>0</v>
      </c>
      <c r="N41" s="152">
        <f>IFERROR(IF(ISBLANK(L41)=TRUE(),0,_xlfn.XLOOKUP(L41,'1.4 AR5 CH8  T8.A.1'!$A$4:$A$217,'1.4 AR5 CH8  T8.A.1'!$H$4:$H$217)),"-")</f>
        <v>0</v>
      </c>
      <c r="O41" s="152" t="str">
        <f t="shared" si="0"/>
        <v>-</v>
      </c>
    </row>
    <row r="42" spans="2:15">
      <c r="B42" s="142" t="s">
        <v>1431</v>
      </c>
      <c r="C42" s="122" t="s">
        <v>153</v>
      </c>
      <c r="D42" s="150">
        <v>0.55000000000000004</v>
      </c>
      <c r="E42" s="152">
        <f>IFERROR(IF(ISBLANK(C42)=TRUE(),0,_xlfn.XLOOKUP(C42,'1.4 AR5 CH8  T8.A.1'!$A$4:$A$217,'1.4 AR5 CH8  T8.A.1'!$H$4:$H$217)),"-")</f>
        <v>3170</v>
      </c>
      <c r="F42" s="122" t="s">
        <v>169</v>
      </c>
      <c r="G42" s="150">
        <v>0.42</v>
      </c>
      <c r="H42" s="152">
        <f>IFERROR(IF(ISBLANK(F42)=TRUE(),0,_xlfn.XLOOKUP(F42,'1.4 AR5 CH8  T8.A.1'!$A$4:$A$217,'1.4 AR5 CH8  T8.A.1'!$H$4:$H$217)),"-")</f>
        <v>1300</v>
      </c>
      <c r="I42" s="122" t="s">
        <v>1405</v>
      </c>
      <c r="J42" s="150">
        <v>0.03</v>
      </c>
      <c r="K42" s="152" t="str">
        <f>IFERROR(IF(ISBLANK(I42)=TRUE(),0,_xlfn.XLOOKUP(I42,'1.4 AR5 CH8  T8.A.1'!$A$4:$A$217,'1.4 AR5 CH8  T8.A.1'!$H$4:$H$217,)),"-")</f>
        <v>-</v>
      </c>
      <c r="L42" s="122"/>
      <c r="M42" s="150">
        <v>0</v>
      </c>
      <c r="N42" s="152">
        <f>IFERROR(IF(ISBLANK(L42)=TRUE(),0,_xlfn.XLOOKUP(L42,'1.4 AR5 CH8  T8.A.1'!$A$4:$A$217,'1.4 AR5 CH8  T8.A.1'!$H$4:$H$217)),"-")</f>
        <v>0</v>
      </c>
      <c r="O42" s="152" t="str">
        <f t="shared" si="0"/>
        <v>-</v>
      </c>
    </row>
    <row r="43" spans="2:15">
      <c r="B43" s="142" t="s">
        <v>1432</v>
      </c>
      <c r="C43" s="122" t="s">
        <v>153</v>
      </c>
      <c r="D43" s="150">
        <v>0.82</v>
      </c>
      <c r="E43" s="152">
        <f>IFERROR(IF(ISBLANK(C43)=TRUE(),0,_xlfn.XLOOKUP(C43,'1.4 AR5 CH8  T8.A.1'!$A$4:$A$217,'1.4 AR5 CH8  T8.A.1'!$H$4:$H$217)),"-")</f>
        <v>3170</v>
      </c>
      <c r="F43" s="122" t="s">
        <v>169</v>
      </c>
      <c r="G43" s="150">
        <v>0.15</v>
      </c>
      <c r="H43" s="152">
        <f>IFERROR(IF(ISBLANK(F43)=TRUE(),0,_xlfn.XLOOKUP(F43,'1.4 AR5 CH8  T8.A.1'!$A$4:$A$217,'1.4 AR5 CH8  T8.A.1'!$H$4:$H$217)),"-")</f>
        <v>1300</v>
      </c>
      <c r="I43" s="122" t="s">
        <v>1405</v>
      </c>
      <c r="J43" s="150">
        <v>0.03</v>
      </c>
      <c r="K43" s="152" t="str">
        <f>IFERROR(IF(ISBLANK(I43)=TRUE(),0,_xlfn.XLOOKUP(I43,'1.4 AR5 CH8  T8.A.1'!$A$4:$A$217,'1.4 AR5 CH8  T8.A.1'!$H$4:$H$217,)),"-")</f>
        <v>-</v>
      </c>
      <c r="L43" s="122"/>
      <c r="M43" s="150">
        <v>0</v>
      </c>
      <c r="N43" s="152">
        <f>IFERROR(IF(ISBLANK(L43)=TRUE(),0,_xlfn.XLOOKUP(L43,'1.4 AR5 CH8  T8.A.1'!$A$4:$A$217,'1.4 AR5 CH8  T8.A.1'!$H$4:$H$217)),"-")</f>
        <v>0</v>
      </c>
      <c r="O43" s="152" t="str">
        <f t="shared" si="0"/>
        <v>-</v>
      </c>
    </row>
    <row r="44" spans="2:15">
      <c r="B44" s="142" t="s">
        <v>1433</v>
      </c>
      <c r="C44" s="122" t="s">
        <v>741</v>
      </c>
      <c r="D44" s="150">
        <v>0.73799999999999999</v>
      </c>
      <c r="E44" s="152">
        <f>IFERROR(IF(ISBLANK(C44)=TRUE(),0,_xlfn.XLOOKUP(C44,'1.4 AR5 CH8  T8.A.1'!$A$4:$A$217,'1.4 AR5 CH8  T8.A.1'!$H$4:$H$217)),"-")</f>
        <v>10200</v>
      </c>
      <c r="F44" s="122" t="s">
        <v>172</v>
      </c>
      <c r="G44" s="150">
        <v>0.26200000000000001</v>
      </c>
      <c r="H44" s="152">
        <f>IFERROR(IF(ISBLANK(F44)=TRUE(),0,_xlfn.XLOOKUP(F44,'1.4 AR5 CH8  T8.A.1'!$A$4:$A$217,'1.4 AR5 CH8  T8.A.1'!$H$4:$H$217)),"-")</f>
        <v>138</v>
      </c>
      <c r="I44" s="122"/>
      <c r="J44" s="150">
        <v>0</v>
      </c>
      <c r="K44" s="152">
        <f>IFERROR(IF(ISBLANK(I44)=TRUE(),0,_xlfn.XLOOKUP(I44,'1.4 AR5 CH8  T8.A.1'!$A$4:$A$217,'1.4 AR5 CH8  T8.A.1'!$H$4:$H$217,)),"-")</f>
        <v>0</v>
      </c>
      <c r="L44" s="122"/>
      <c r="M44" s="150">
        <v>0</v>
      </c>
      <c r="N44" s="152">
        <f>IFERROR(IF(ISBLANK(L44)=TRUE(),0,_xlfn.XLOOKUP(L44,'1.4 AR5 CH8  T8.A.1'!$A$4:$A$217,'1.4 AR5 CH8  T8.A.1'!$H$4:$H$217)),"-")</f>
        <v>0</v>
      </c>
      <c r="O44" s="152">
        <f t="shared" si="0"/>
        <v>7563.7559999999994</v>
      </c>
    </row>
    <row r="45" spans="2:15">
      <c r="B45" s="142" t="s">
        <v>1434</v>
      </c>
      <c r="C45" s="122" t="s">
        <v>738</v>
      </c>
      <c r="D45" s="150">
        <v>0.75</v>
      </c>
      <c r="E45" s="152">
        <f>IFERROR(IF(ISBLANK(C45)=TRUE(),0,_xlfn.XLOOKUP(C45,'1.4 AR5 CH8  T8.A.1'!$A$4:$A$217,'1.4 AR5 CH8  T8.A.1'!$H$4:$H$217)),"-")</f>
        <v>1760</v>
      </c>
      <c r="F45" s="122" t="s">
        <v>741</v>
      </c>
      <c r="G45" s="150">
        <v>0.25</v>
      </c>
      <c r="H45" s="152">
        <f>IFERROR(IF(ISBLANK(F45)=TRUE(),0,_xlfn.XLOOKUP(F45,'1.4 AR5 CH8  T8.A.1'!$A$4:$A$217,'1.4 AR5 CH8  T8.A.1'!$H$4:$H$217)),"-")</f>
        <v>10200</v>
      </c>
      <c r="I45" s="122"/>
      <c r="J45" s="150">
        <v>0</v>
      </c>
      <c r="K45" s="152">
        <f>IFERROR(IF(ISBLANK(I45)=TRUE(),0,_xlfn.XLOOKUP(I45,'1.4 AR5 CH8  T8.A.1'!$A$4:$A$217,'1.4 AR5 CH8  T8.A.1'!$H$4:$H$217,)),"-")</f>
        <v>0</v>
      </c>
      <c r="L45" s="122"/>
      <c r="M45" s="150">
        <v>0</v>
      </c>
      <c r="N45" s="152">
        <f>IFERROR(IF(ISBLANK(L45)=TRUE(),0,_xlfn.XLOOKUP(L45,'1.4 AR5 CH8  T8.A.1'!$A$4:$A$217,'1.4 AR5 CH8  T8.A.1'!$H$4:$H$217)),"-")</f>
        <v>0</v>
      </c>
      <c r="O45" s="152">
        <f t="shared" si="0"/>
        <v>3870</v>
      </c>
    </row>
    <row r="46" spans="2:15">
      <c r="B46" s="142" t="s">
        <v>1435</v>
      </c>
      <c r="C46" s="122" t="s">
        <v>738</v>
      </c>
      <c r="D46" s="150">
        <v>0.48799999999999999</v>
      </c>
      <c r="E46" s="152">
        <f>IFERROR(IF(ISBLANK(C46)=TRUE(),0,_xlfn.XLOOKUP(C46,'1.4 AR5 CH8  T8.A.1'!$A$4:$A$217,'1.4 AR5 CH8  T8.A.1'!$H$4:$H$217)),"-")</f>
        <v>1760</v>
      </c>
      <c r="F46" s="122" t="s">
        <v>182</v>
      </c>
      <c r="G46" s="150">
        <v>0.51200000000000001</v>
      </c>
      <c r="H46" s="152">
        <f>IFERROR(IF(ISBLANK(F46)=TRUE(),0,_xlfn.XLOOKUP(F46,'1.4 AR5 CH8  T8.A.1'!$A$4:$A$217,'1.4 AR5 CH8  T8.A.1'!$H$4:$H$217)),"-")</f>
        <v>7670</v>
      </c>
      <c r="I46" s="122"/>
      <c r="J46" s="150">
        <v>0</v>
      </c>
      <c r="K46" s="152">
        <f>IFERROR(IF(ISBLANK(I46)=TRUE(),0,_xlfn.XLOOKUP(I46,'1.4 AR5 CH8  T8.A.1'!$A$4:$A$217,'1.4 AR5 CH8  T8.A.1'!$H$4:$H$217,)),"-")</f>
        <v>0</v>
      </c>
      <c r="L46" s="122"/>
      <c r="M46" s="150">
        <v>0</v>
      </c>
      <c r="N46" s="152">
        <f>IFERROR(IF(ISBLANK(L46)=TRUE(),0,_xlfn.XLOOKUP(L46,'1.4 AR5 CH8  T8.A.1'!$A$4:$A$217,'1.4 AR5 CH8  T8.A.1'!$H$4:$H$217)),"-")</f>
        <v>0</v>
      </c>
      <c r="O46" s="152">
        <f t="shared" si="0"/>
        <v>4785.92</v>
      </c>
    </row>
    <row r="47" spans="2:15">
      <c r="B47" s="142" t="s">
        <v>1436</v>
      </c>
      <c r="C47" s="122" t="s">
        <v>174</v>
      </c>
      <c r="D47" s="150">
        <v>0.40100000000000002</v>
      </c>
      <c r="E47" s="152">
        <f>IFERROR(IF(ISBLANK(C47)=TRUE(),0,_xlfn.XLOOKUP(C47,'1.4 AR5 CH8  T8.A.1'!$A$4:$A$217,'1.4 AR5 CH8  T8.A.1'!$H$4:$H$217)),"-")</f>
        <v>12400</v>
      </c>
      <c r="F47" s="122" t="s">
        <v>179</v>
      </c>
      <c r="G47" s="150">
        <v>0.59899999999999998</v>
      </c>
      <c r="H47" s="152">
        <f>IFERROR(IF(ISBLANK(F47)=TRUE(),0,_xlfn.XLOOKUP(F47,'1.4 AR5 CH8  T8.A.1'!$A$4:$A$217,'1.4 AR5 CH8  T8.A.1'!$H$4:$H$217)),"-")</f>
        <v>13900</v>
      </c>
      <c r="I47" s="122"/>
      <c r="J47" s="150">
        <v>0</v>
      </c>
      <c r="K47" s="152">
        <f>IFERROR(IF(ISBLANK(I47)=TRUE(),0,_xlfn.XLOOKUP(I47,'1.4 AR5 CH8  T8.A.1'!$A$4:$A$217,'1.4 AR5 CH8  T8.A.1'!$H$4:$H$217,)),"-")</f>
        <v>0</v>
      </c>
      <c r="L47" s="122"/>
      <c r="M47" s="150">
        <v>0</v>
      </c>
      <c r="N47" s="152">
        <f>IFERROR(IF(ISBLANK(L47)=TRUE(),0,_xlfn.XLOOKUP(L47,'1.4 AR5 CH8  T8.A.1'!$A$4:$A$217,'1.4 AR5 CH8  T8.A.1'!$H$4:$H$217)),"-")</f>
        <v>0</v>
      </c>
      <c r="O47" s="152">
        <f t="shared" si="0"/>
        <v>13298.5</v>
      </c>
    </row>
    <row r="48" spans="2:15">
      <c r="B48" s="142" t="s">
        <v>1437</v>
      </c>
      <c r="C48" s="122" t="s">
        <v>144</v>
      </c>
      <c r="D48" s="150">
        <v>0.48200000000000004</v>
      </c>
      <c r="E48" s="152">
        <f>IFERROR(IF(ISBLANK(C48)=TRUE(),0,_xlfn.XLOOKUP(C48,'1.4 AR5 CH8  T8.A.1'!$A$4:$A$217,'1.4 AR5 CH8  T8.A.1'!$H$4:$H$217)),"-")</f>
        <v>677</v>
      </c>
      <c r="F48" s="122" t="s">
        <v>182</v>
      </c>
      <c r="G48" s="150">
        <v>0.51800000000000002</v>
      </c>
      <c r="H48" s="152">
        <f>IFERROR(IF(ISBLANK(F48)=TRUE(),0,_xlfn.XLOOKUP(F48,'1.4 AR5 CH8  T8.A.1'!$A$4:$A$217,'1.4 AR5 CH8  T8.A.1'!$H$4:$H$217)),"-")</f>
        <v>7670</v>
      </c>
      <c r="I48" s="122"/>
      <c r="J48" s="150">
        <v>0</v>
      </c>
      <c r="K48" s="152">
        <f>IFERROR(IF(ISBLANK(I48)=TRUE(),0,_xlfn.XLOOKUP(I48,'1.4 AR5 CH8  T8.A.1'!$A$4:$A$217,'1.4 AR5 CH8  T8.A.1'!$H$4:$H$217,)),"-")</f>
        <v>0</v>
      </c>
      <c r="L48" s="122"/>
      <c r="M48" s="150">
        <v>0</v>
      </c>
      <c r="N48" s="152">
        <f>IFERROR(IF(ISBLANK(L48)=TRUE(),0,_xlfn.XLOOKUP(L48,'1.4 AR5 CH8  T8.A.1'!$A$4:$A$217,'1.4 AR5 CH8  T8.A.1'!$H$4:$H$217)),"-")</f>
        <v>0</v>
      </c>
      <c r="O48" s="152">
        <f t="shared" si="0"/>
        <v>4299.3739999999998</v>
      </c>
    </row>
    <row r="49" spans="2:15">
      <c r="B49" s="142" t="s">
        <v>1438</v>
      </c>
      <c r="C49" s="122" t="s">
        <v>741</v>
      </c>
      <c r="D49" s="150">
        <v>0.78</v>
      </c>
      <c r="E49" s="152">
        <f>IFERROR(IF(ISBLANK(C49)=TRUE(),0,_xlfn.XLOOKUP(C49,'1.4 AR5 CH8  T8.A.1'!$A$4:$A$217,'1.4 AR5 CH8  T8.A.1'!$H$4:$H$217)),"-")</f>
        <v>10200</v>
      </c>
      <c r="F49" s="122" t="s">
        <v>1439</v>
      </c>
      <c r="G49" s="150">
        <v>0.22</v>
      </c>
      <c r="H49" s="152" t="str">
        <f>IFERROR(IF(ISBLANK(F49)=TRUE(),0,_xlfn.XLOOKUP(F49,'1.4 AR5 CH8  T8.A.1'!$A$4:$A$217,'1.4 AR5 CH8  T8.A.1'!$H$4:$H$217)),"-")</f>
        <v>-</v>
      </c>
      <c r="I49" s="122"/>
      <c r="J49" s="150">
        <v>0</v>
      </c>
      <c r="K49" s="152">
        <f>IFERROR(IF(ISBLANK(I49)=TRUE(),0,_xlfn.XLOOKUP(I49,'1.4 AR5 CH8  T8.A.1'!$A$4:$A$217,'1.4 AR5 CH8  T8.A.1'!$H$4:$H$217,)),"-")</f>
        <v>0</v>
      </c>
      <c r="L49" s="122"/>
      <c r="M49" s="150">
        <v>0</v>
      </c>
      <c r="N49" s="152">
        <f>IFERROR(IF(ISBLANK(L49)=TRUE(),0,_xlfn.XLOOKUP(L49,'1.4 AR5 CH8  T8.A.1'!$A$4:$A$217,'1.4 AR5 CH8  T8.A.1'!$H$4:$H$217)),"-")</f>
        <v>0</v>
      </c>
      <c r="O49" s="152" t="str">
        <f t="shared" si="0"/>
        <v>-</v>
      </c>
    </row>
    <row r="50" spans="2:15">
      <c r="B50" s="142" t="s">
        <v>1440</v>
      </c>
      <c r="C50" s="122" t="s">
        <v>1441</v>
      </c>
      <c r="D50" s="150">
        <v>0.55100000000000005</v>
      </c>
      <c r="E50" s="152" t="str">
        <f>IFERROR(IF(ISBLANK(C50)=TRUE(),0,_xlfn.XLOOKUP(C50,'1.4 AR5 CH8  T8.A.1'!$A$4:$A$217,'1.4 AR5 CH8  T8.A.1'!$H$4:$H$217)),"-")</f>
        <v>-</v>
      </c>
      <c r="F50" s="122" t="s">
        <v>181</v>
      </c>
      <c r="G50" s="150">
        <v>0.44900000000000001</v>
      </c>
      <c r="H50" s="152">
        <f>IFERROR(IF(ISBLANK(F50)=TRUE(),0,_xlfn.XLOOKUP(F50,'1.4 AR5 CH8  T8.A.1'!$A$4:$A$217,'1.4 AR5 CH8  T8.A.1'!$H$4:$H$217)),"-")</f>
        <v>8590</v>
      </c>
      <c r="I50" s="122"/>
      <c r="J50" s="150">
        <v>0</v>
      </c>
      <c r="K50" s="152">
        <f>IFERROR(IF(ISBLANK(I50)=TRUE(),0,_xlfn.XLOOKUP(I50,'1.4 AR5 CH8  T8.A.1'!$A$4:$A$217,'1.4 AR5 CH8  T8.A.1'!$H$4:$H$217,)),"-")</f>
        <v>0</v>
      </c>
      <c r="L50" s="122"/>
      <c r="M50" s="150">
        <v>0</v>
      </c>
      <c r="N50" s="152">
        <f>IFERROR(IF(ISBLANK(L50)=TRUE(),0,_xlfn.XLOOKUP(L50,'1.4 AR5 CH8  T8.A.1'!$A$4:$A$217,'1.4 AR5 CH8  T8.A.1'!$H$4:$H$217)),"-")</f>
        <v>0</v>
      </c>
      <c r="O50" s="152" t="str">
        <f t="shared" si="0"/>
        <v>-</v>
      </c>
    </row>
    <row r="51" spans="2:15">
      <c r="B51" s="142" t="s">
        <v>735</v>
      </c>
      <c r="C51" s="122" t="s">
        <v>153</v>
      </c>
      <c r="D51" s="150">
        <v>0.5</v>
      </c>
      <c r="E51" s="152">
        <f>IFERROR(IF(ISBLANK(C51)=TRUE(),0,_xlfn.XLOOKUP(C51,'1.4 AR5 CH8  T8.A.1'!$A$4:$A$217,'1.4 AR5 CH8  T8.A.1'!$H$4:$H$217)),"-")</f>
        <v>3170</v>
      </c>
      <c r="F51" s="122" t="s">
        <v>171</v>
      </c>
      <c r="G51" s="150">
        <v>0.5</v>
      </c>
      <c r="H51" s="152">
        <f>IFERROR(IF(ISBLANK(F51)=TRUE(),0,_xlfn.XLOOKUP(F51,'1.4 AR5 CH8  T8.A.1'!$A$4:$A$217,'1.4 AR5 CH8  T8.A.1'!$H$4:$H$217)),"-")</f>
        <v>4800</v>
      </c>
      <c r="I51" s="122"/>
      <c r="J51" s="150">
        <v>0</v>
      </c>
      <c r="K51" s="152">
        <f>IFERROR(IF(ISBLANK(I51)=TRUE(),0,_xlfn.XLOOKUP(I51,'1.4 AR5 CH8  T8.A.1'!$A$4:$A$217,'1.4 AR5 CH8  T8.A.1'!$H$4:$H$217,)),"-")</f>
        <v>0</v>
      </c>
      <c r="L51" s="122"/>
      <c r="M51" s="150">
        <v>0</v>
      </c>
      <c r="N51" s="152">
        <f>IFERROR(IF(ISBLANK(L51)=TRUE(),0,_xlfn.XLOOKUP(L51,'1.4 AR5 CH8  T8.A.1'!$A$4:$A$217,'1.4 AR5 CH8  T8.A.1'!$H$4:$H$217)),"-")</f>
        <v>0</v>
      </c>
      <c r="O51" s="152">
        <f t="shared" si="0"/>
        <v>3985</v>
      </c>
    </row>
    <row r="52" spans="2:15">
      <c r="B52" s="142" t="s">
        <v>166</v>
      </c>
      <c r="C52" s="122" t="s">
        <v>174</v>
      </c>
      <c r="D52" s="150">
        <v>0.39</v>
      </c>
      <c r="E52" s="152">
        <f>IFERROR(IF(ISBLANK(C52)=TRUE(),0,_xlfn.XLOOKUP(C52,'1.4 AR5 CH8  T8.A.1'!$A$4:$A$217,'1.4 AR5 CH8  T8.A.1'!$H$4:$H$217)),"-")</f>
        <v>12400</v>
      </c>
      <c r="F52" s="122" t="s">
        <v>727</v>
      </c>
      <c r="G52" s="150">
        <v>0.61</v>
      </c>
      <c r="H52" s="152">
        <f>IFERROR(IF(ISBLANK(F52)=TRUE(),0,_xlfn.XLOOKUP(F52,'1.4 AR5 CH8  T8.A.1'!$A$4:$A$217,'1.4 AR5 CH8  T8.A.1'!$H$4:$H$217)),"-")</f>
        <v>11100</v>
      </c>
      <c r="I52" s="122"/>
      <c r="J52" s="150">
        <v>0</v>
      </c>
      <c r="K52" s="152">
        <f>IFERROR(IF(ISBLANK(I52)=TRUE(),0,_xlfn.XLOOKUP(I52,'1.4 AR5 CH8  T8.A.1'!$A$4:$A$217,'1.4 AR5 CH8  T8.A.1'!$H$4:$H$217,)),"-")</f>
        <v>0</v>
      </c>
      <c r="L52" s="122"/>
      <c r="M52" s="150">
        <v>0</v>
      </c>
      <c r="N52" s="152">
        <f>IFERROR(IF(ISBLANK(L52)=TRUE(),0,_xlfn.XLOOKUP(L52,'1.4 AR5 CH8  T8.A.1'!$A$4:$A$217,'1.4 AR5 CH8  T8.A.1'!$H$4:$H$217)),"-")</f>
        <v>0</v>
      </c>
      <c r="O52" s="152">
        <f t="shared" si="0"/>
        <v>11607</v>
      </c>
    </row>
    <row r="53" spans="2:15">
      <c r="B53" s="142" t="s">
        <v>167</v>
      </c>
      <c r="C53" s="122" t="s">
        <v>174</v>
      </c>
      <c r="D53" s="150">
        <v>0.46</v>
      </c>
      <c r="E53" s="152">
        <f>IFERROR(IF(ISBLANK(C53)=TRUE(),0,_xlfn.XLOOKUP(C53,'1.4 AR5 CH8  T8.A.1'!$A$4:$A$217,'1.4 AR5 CH8  T8.A.1'!$H$4:$H$217)),"-")</f>
        <v>12400</v>
      </c>
      <c r="F53" s="122" t="s">
        <v>727</v>
      </c>
      <c r="G53" s="150">
        <v>0.54</v>
      </c>
      <c r="H53" s="152">
        <f>IFERROR(IF(ISBLANK(F53)=TRUE(),0,_xlfn.XLOOKUP(F53,'1.4 AR5 CH8  T8.A.1'!$A$4:$A$217,'1.4 AR5 CH8  T8.A.1'!$H$4:$H$217)),"-")</f>
        <v>11100</v>
      </c>
      <c r="I53" s="122"/>
      <c r="J53" s="150">
        <v>0</v>
      </c>
      <c r="K53" s="152">
        <f>IFERROR(IF(ISBLANK(I53)=TRUE(),0,_xlfn.XLOOKUP(I53,'1.4 AR5 CH8  T8.A.1'!$A$4:$A$217,'1.4 AR5 CH8  T8.A.1'!$H$4:$H$217,)),"-")</f>
        <v>0</v>
      </c>
      <c r="L53" s="122"/>
      <c r="M53" s="150">
        <v>0</v>
      </c>
      <c r="N53" s="152">
        <f>IFERROR(IF(ISBLANK(L53)=TRUE(),0,_xlfn.XLOOKUP(L53,'1.4 AR5 CH8  T8.A.1'!$A$4:$A$217,'1.4 AR5 CH8  T8.A.1'!$H$4:$H$217)),"-")</f>
        <v>0</v>
      </c>
      <c r="O53" s="152">
        <f t="shared" si="0"/>
        <v>11698</v>
      </c>
    </row>
    <row r="54" spans="2:15">
      <c r="B54" s="142" t="s">
        <v>1442</v>
      </c>
      <c r="C54" s="122" t="s">
        <v>738</v>
      </c>
      <c r="D54" s="150">
        <v>0.44</v>
      </c>
      <c r="E54" s="152">
        <f>IFERROR(IF(ISBLANK(C54)=TRUE(),0,_xlfn.XLOOKUP(C54,'1.4 AR5 CH8  T8.A.1'!$A$4:$A$217,'1.4 AR5 CH8  T8.A.1'!$H$4:$H$217)),"-")</f>
        <v>1760</v>
      </c>
      <c r="F54" s="122" t="s">
        <v>731</v>
      </c>
      <c r="G54" s="150">
        <v>0.56000000000000005</v>
      </c>
      <c r="H54" s="152">
        <f>IFERROR(IF(ISBLANK(F54)=TRUE(),0,_xlfn.XLOOKUP(F54,'1.4 AR5 CH8  T8.A.1'!$A$4:$A$217,'1.4 AR5 CH8  T8.A.1'!$H$4:$H$217)),"-")</f>
        <v>8900</v>
      </c>
      <c r="I54" s="122"/>
      <c r="J54" s="150">
        <v>0</v>
      </c>
      <c r="K54" s="152">
        <f>IFERROR(IF(ISBLANK(I54)=TRUE(),0,_xlfn.XLOOKUP(I54,'1.4 AR5 CH8  T8.A.1'!$A$4:$A$217,'1.4 AR5 CH8  T8.A.1'!$H$4:$H$217,)),"-")</f>
        <v>0</v>
      </c>
      <c r="L54" s="122"/>
      <c r="M54" s="150">
        <v>0</v>
      </c>
      <c r="N54" s="152">
        <f>IFERROR(IF(ISBLANK(L54)=TRUE(),0,_xlfn.XLOOKUP(L54,'1.4 AR5 CH8  T8.A.1'!$A$4:$A$217,'1.4 AR5 CH8  T8.A.1'!$H$4:$H$217)),"-")</f>
        <v>0</v>
      </c>
      <c r="O54" s="152">
        <f t="shared" si="0"/>
        <v>5758.4000000000005</v>
      </c>
    </row>
  </sheetData>
  <sheetProtection algorithmName="SHA-512" hashValue="F8M+7wer3CD6frnW2QKQYTQ4UqHl0kXS5zCsYG9xuO3ucPHCsjl/iTYDwzl8v0vFDzlHazi/sTbC4uC40B2Ilg==" saltValue="PYlc6aZeLa9VKdk4bezKrA==" spinCount="100000" sheet="1" objects="1" scenarios="1" autoFilter="0"/>
  <mergeCells count="1">
    <mergeCell ref="B2:M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B1:G138"/>
  <sheetViews>
    <sheetView showGridLines="0" workbookViewId="0"/>
  </sheetViews>
  <sheetFormatPr baseColWidth="10" defaultColWidth="9.109375" defaultRowHeight="14.4"/>
  <cols>
    <col min="1" max="1" width="4" customWidth="1"/>
    <col min="2" max="2" width="44.88671875" customWidth="1"/>
    <col min="3" max="4" width="21" customWidth="1"/>
    <col min="5" max="5" width="17.33203125" customWidth="1"/>
    <col min="6" max="6" width="15.6640625" customWidth="1"/>
    <col min="7" max="7" width="77.6640625" customWidth="1"/>
  </cols>
  <sheetData>
    <row r="1" spans="2:7">
      <c r="C1" s="61" t="s">
        <v>1443</v>
      </c>
      <c r="D1" s="61" t="s">
        <v>344</v>
      </c>
      <c r="E1" s="61" t="s">
        <v>345</v>
      </c>
    </row>
    <row r="2" spans="2:7">
      <c r="C2" s="70" t="s">
        <v>1444</v>
      </c>
      <c r="D2" s="70">
        <v>1000</v>
      </c>
      <c r="E2" s="70" t="s">
        <v>200</v>
      </c>
    </row>
    <row r="3" spans="2:7">
      <c r="C3" s="70" t="s">
        <v>1445</v>
      </c>
      <c r="D3" s="70">
        <v>1E-3</v>
      </c>
      <c r="E3" s="446" t="s">
        <v>200</v>
      </c>
    </row>
    <row r="6" spans="2:7">
      <c r="B6" s="1" t="s">
        <v>358</v>
      </c>
    </row>
    <row r="7" spans="2:7">
      <c r="B7" s="1" t="s">
        <v>198</v>
      </c>
    </row>
    <row r="9" spans="2:7" ht="28.8">
      <c r="B9" s="71" t="s">
        <v>362</v>
      </c>
      <c r="C9" s="71" t="s">
        <v>691</v>
      </c>
      <c r="D9" s="71" t="s">
        <v>719</v>
      </c>
      <c r="E9" s="97" t="s">
        <v>1446</v>
      </c>
      <c r="F9" s="97" t="s">
        <v>345</v>
      </c>
      <c r="G9" s="97" t="s">
        <v>96</v>
      </c>
    </row>
    <row r="10" spans="2:7">
      <c r="B10" s="72" t="s">
        <v>199</v>
      </c>
      <c r="C10" s="72">
        <v>2015</v>
      </c>
      <c r="D10" s="72" t="s">
        <v>200</v>
      </c>
      <c r="E10" s="337">
        <v>764.4</v>
      </c>
      <c r="F10" s="109" t="str">
        <f>"kgCO2e/"&amp;D10</f>
        <v>kgCO2e/MWh</v>
      </c>
      <c r="G10" s="72" t="s">
        <v>1447</v>
      </c>
    </row>
    <row r="11" spans="2:7">
      <c r="B11" s="72" t="s">
        <v>199</v>
      </c>
      <c r="C11" s="72">
        <v>2015</v>
      </c>
      <c r="D11" s="72" t="s">
        <v>201</v>
      </c>
      <c r="E11" s="338">
        <f>764.4*D2</f>
        <v>764400</v>
      </c>
      <c r="F11" s="109" t="str">
        <f t="shared" ref="F11:F74" si="0">"kgCO2e/"&amp;D11</f>
        <v>kgCO2e/GWh</v>
      </c>
      <c r="G11" s="72" t="s">
        <v>1447</v>
      </c>
    </row>
    <row r="12" spans="2:7">
      <c r="B12" s="72" t="s">
        <v>199</v>
      </c>
      <c r="C12" s="72">
        <v>2015</v>
      </c>
      <c r="D12" s="72" t="s">
        <v>202</v>
      </c>
      <c r="E12" s="339">
        <f>764.4*D3</f>
        <v>0.76439999999999997</v>
      </c>
      <c r="F12" s="109" t="str">
        <f t="shared" si="0"/>
        <v>kgCO2e/kWh</v>
      </c>
      <c r="G12" s="72" t="s">
        <v>1447</v>
      </c>
    </row>
    <row r="13" spans="2:7">
      <c r="B13" s="72" t="s">
        <v>199</v>
      </c>
      <c r="C13" s="72">
        <v>2016</v>
      </c>
      <c r="D13" s="72" t="s">
        <v>200</v>
      </c>
      <c r="E13" s="337">
        <v>766.7</v>
      </c>
      <c r="F13" s="109" t="str">
        <f t="shared" si="0"/>
        <v>kgCO2e/MWh</v>
      </c>
      <c r="G13" s="72" t="s">
        <v>1447</v>
      </c>
    </row>
    <row r="14" spans="2:7">
      <c r="B14" s="72" t="s">
        <v>199</v>
      </c>
      <c r="C14" s="72">
        <v>2016</v>
      </c>
      <c r="D14" s="72" t="s">
        <v>201</v>
      </c>
      <c r="E14" s="338">
        <f>766.7*D2</f>
        <v>766700</v>
      </c>
      <c r="F14" s="109" t="str">
        <f t="shared" si="0"/>
        <v>kgCO2e/GWh</v>
      </c>
      <c r="G14" s="72" t="s">
        <v>1447</v>
      </c>
    </row>
    <row r="15" spans="2:7">
      <c r="B15" s="72" t="s">
        <v>199</v>
      </c>
      <c r="C15" s="72">
        <v>2016</v>
      </c>
      <c r="D15" s="72" t="s">
        <v>202</v>
      </c>
      <c r="E15" s="339">
        <f>766.7*D3</f>
        <v>0.76670000000000005</v>
      </c>
      <c r="F15" s="109" t="str">
        <f t="shared" si="0"/>
        <v>kgCO2e/kWh</v>
      </c>
      <c r="G15" s="72" t="s">
        <v>1447</v>
      </c>
    </row>
    <row r="16" spans="2:7">
      <c r="B16" s="72" t="s">
        <v>199</v>
      </c>
      <c r="C16" s="72">
        <v>2017</v>
      </c>
      <c r="D16" s="72" t="s">
        <v>200</v>
      </c>
      <c r="E16" s="337">
        <v>773</v>
      </c>
      <c r="F16" s="109" t="str">
        <f t="shared" si="0"/>
        <v>kgCO2e/MWh</v>
      </c>
      <c r="G16" s="72" t="s">
        <v>1447</v>
      </c>
    </row>
    <row r="17" spans="2:7">
      <c r="B17" s="72" t="s">
        <v>199</v>
      </c>
      <c r="C17" s="72">
        <v>2017</v>
      </c>
      <c r="D17" s="72" t="s">
        <v>201</v>
      </c>
      <c r="E17" s="338">
        <f>773*D2</f>
        <v>773000</v>
      </c>
      <c r="F17" s="109" t="str">
        <f t="shared" si="0"/>
        <v>kgCO2e/GWh</v>
      </c>
      <c r="G17" s="72" t="s">
        <v>1447</v>
      </c>
    </row>
    <row r="18" spans="2:7">
      <c r="B18" s="72" t="s">
        <v>199</v>
      </c>
      <c r="C18" s="72">
        <v>2017</v>
      </c>
      <c r="D18" s="72" t="s">
        <v>202</v>
      </c>
      <c r="E18" s="339">
        <f>773*D3</f>
        <v>0.77300000000000002</v>
      </c>
      <c r="F18" s="109" t="str">
        <f t="shared" si="0"/>
        <v>kgCO2e/kWh</v>
      </c>
      <c r="G18" s="72" t="s">
        <v>1447</v>
      </c>
    </row>
    <row r="19" spans="2:7">
      <c r="B19" s="72" t="s">
        <v>203</v>
      </c>
      <c r="C19" s="72">
        <v>2015</v>
      </c>
      <c r="D19" s="72" t="s">
        <v>200</v>
      </c>
      <c r="E19" s="337">
        <v>345.9</v>
      </c>
      <c r="F19" s="109" t="str">
        <f t="shared" si="0"/>
        <v>kgCO2e/MWh</v>
      </c>
      <c r="G19" s="72" t="s">
        <v>1447</v>
      </c>
    </row>
    <row r="20" spans="2:7">
      <c r="B20" s="72" t="s">
        <v>203</v>
      </c>
      <c r="C20" s="72">
        <v>2015</v>
      </c>
      <c r="D20" s="72" t="s">
        <v>201</v>
      </c>
      <c r="E20" s="338">
        <f>345.9*D2</f>
        <v>345900</v>
      </c>
      <c r="F20" s="109" t="str">
        <f t="shared" si="0"/>
        <v>kgCO2e/GWh</v>
      </c>
      <c r="G20" s="72" t="s">
        <v>1447</v>
      </c>
    </row>
    <row r="21" spans="2:7">
      <c r="B21" s="72" t="s">
        <v>203</v>
      </c>
      <c r="C21" s="72">
        <v>2015</v>
      </c>
      <c r="D21" s="72" t="s">
        <v>202</v>
      </c>
      <c r="E21" s="339">
        <f>345.9*D3</f>
        <v>0.34589999999999999</v>
      </c>
      <c r="F21" s="109" t="str">
        <f t="shared" si="0"/>
        <v>kgCO2e/kWh</v>
      </c>
      <c r="G21" s="72" t="s">
        <v>1447</v>
      </c>
    </row>
    <row r="22" spans="2:7">
      <c r="B22" s="72" t="s">
        <v>203</v>
      </c>
      <c r="C22" s="72">
        <v>2016</v>
      </c>
      <c r="D22" s="72" t="s">
        <v>200</v>
      </c>
      <c r="E22" s="337">
        <v>397</v>
      </c>
      <c r="F22" s="109" t="str">
        <f t="shared" si="0"/>
        <v>kgCO2e/MWh</v>
      </c>
      <c r="G22" s="72" t="s">
        <v>1447</v>
      </c>
    </row>
    <row r="23" spans="2:7">
      <c r="B23" s="72" t="s">
        <v>203</v>
      </c>
      <c r="C23" s="72">
        <v>2016</v>
      </c>
      <c r="D23" s="72" t="s">
        <v>201</v>
      </c>
      <c r="E23" s="338">
        <f>397*D2</f>
        <v>397000</v>
      </c>
      <c r="F23" s="109" t="str">
        <f t="shared" si="0"/>
        <v>kgCO2e/GWh</v>
      </c>
      <c r="G23" s="72" t="s">
        <v>1447</v>
      </c>
    </row>
    <row r="24" spans="2:7">
      <c r="B24" s="72" t="s">
        <v>203</v>
      </c>
      <c r="C24" s="72">
        <v>2016</v>
      </c>
      <c r="D24" s="72" t="s">
        <v>202</v>
      </c>
      <c r="E24" s="339">
        <f>397*D3</f>
        <v>0.39700000000000002</v>
      </c>
      <c r="F24" s="109" t="str">
        <f t="shared" si="0"/>
        <v>kgCO2e/kWh</v>
      </c>
      <c r="G24" s="72" t="s">
        <v>1447</v>
      </c>
    </row>
    <row r="25" spans="2:7">
      <c r="B25" s="72" t="s">
        <v>203</v>
      </c>
      <c r="C25" s="72">
        <v>2017</v>
      </c>
      <c r="D25" s="72" t="s">
        <v>200</v>
      </c>
      <c r="E25" s="337">
        <v>336.4</v>
      </c>
      <c r="F25" s="109" t="str">
        <f t="shared" si="0"/>
        <v>kgCO2e/MWh</v>
      </c>
      <c r="G25" s="72" t="s">
        <v>1447</v>
      </c>
    </row>
    <row r="26" spans="2:7">
      <c r="B26" s="72" t="s">
        <v>203</v>
      </c>
      <c r="C26" s="72">
        <v>2017</v>
      </c>
      <c r="D26" s="72" t="s">
        <v>201</v>
      </c>
      <c r="E26" s="338">
        <f>336.4*D2</f>
        <v>336400</v>
      </c>
      <c r="F26" s="109" t="str">
        <f t="shared" si="0"/>
        <v>kgCO2e/GWh</v>
      </c>
      <c r="G26" s="72" t="s">
        <v>1447</v>
      </c>
    </row>
    <row r="27" spans="2:7">
      <c r="B27" s="72" t="s">
        <v>203</v>
      </c>
      <c r="C27" s="72">
        <v>2017</v>
      </c>
      <c r="D27" s="72" t="s">
        <v>202</v>
      </c>
      <c r="E27" s="339">
        <f>336.4*D3</f>
        <v>0.33639999999999998</v>
      </c>
      <c r="F27" s="109" t="str">
        <f t="shared" si="0"/>
        <v>kgCO2e/kWh</v>
      </c>
      <c r="G27" s="72" t="s">
        <v>1447</v>
      </c>
    </row>
    <row r="28" spans="2:7">
      <c r="B28" s="402" t="s">
        <v>204</v>
      </c>
      <c r="C28" s="72">
        <v>2018</v>
      </c>
      <c r="D28" s="72" t="s">
        <v>200</v>
      </c>
      <c r="E28" s="337">
        <v>418.7</v>
      </c>
      <c r="F28" s="109" t="str">
        <f t="shared" si="0"/>
        <v>kgCO2e/MWh</v>
      </c>
      <c r="G28" s="72" t="s">
        <v>1447</v>
      </c>
    </row>
    <row r="29" spans="2:7">
      <c r="B29" s="402" t="s">
        <v>204</v>
      </c>
      <c r="C29" s="72">
        <v>2018</v>
      </c>
      <c r="D29" s="72" t="s">
        <v>201</v>
      </c>
      <c r="E29" s="338">
        <f>418.7*D2</f>
        <v>418700</v>
      </c>
      <c r="F29" s="109" t="str">
        <f t="shared" si="0"/>
        <v>kgCO2e/GWh</v>
      </c>
      <c r="G29" s="72" t="s">
        <v>1447</v>
      </c>
    </row>
    <row r="30" spans="2:7">
      <c r="B30" s="402" t="s">
        <v>204</v>
      </c>
      <c r="C30" s="72">
        <v>2018</v>
      </c>
      <c r="D30" s="72" t="s">
        <v>202</v>
      </c>
      <c r="E30" s="339">
        <f>418.7*D3</f>
        <v>0.41870000000000002</v>
      </c>
      <c r="F30" s="109" t="str">
        <f t="shared" si="0"/>
        <v>kgCO2e/kWh</v>
      </c>
      <c r="G30" s="72" t="s">
        <v>1447</v>
      </c>
    </row>
    <row r="31" spans="2:7">
      <c r="B31" s="402" t="s">
        <v>204</v>
      </c>
      <c r="C31" s="72">
        <v>2019</v>
      </c>
      <c r="D31" s="72" t="s">
        <v>200</v>
      </c>
      <c r="E31" s="337">
        <v>405.6</v>
      </c>
      <c r="F31" s="109" t="str">
        <f t="shared" si="0"/>
        <v>kgCO2e/MWh</v>
      </c>
      <c r="G31" s="72" t="s">
        <v>1447</v>
      </c>
    </row>
    <row r="32" spans="2:7">
      <c r="B32" s="402" t="s">
        <v>204</v>
      </c>
      <c r="C32" s="72">
        <v>2019</v>
      </c>
      <c r="D32" s="72" t="s">
        <v>201</v>
      </c>
      <c r="E32" s="338">
        <f>405.6*D2</f>
        <v>405600</v>
      </c>
      <c r="F32" s="109" t="str">
        <f t="shared" si="0"/>
        <v>kgCO2e/GWh</v>
      </c>
      <c r="G32" s="72" t="s">
        <v>1447</v>
      </c>
    </row>
    <row r="33" spans="2:7">
      <c r="B33" s="402" t="s">
        <v>204</v>
      </c>
      <c r="C33" s="72">
        <v>2019</v>
      </c>
      <c r="D33" s="72" t="s">
        <v>202</v>
      </c>
      <c r="E33" s="339">
        <f>405.6*D3</f>
        <v>0.40560000000000002</v>
      </c>
      <c r="F33" s="109" t="str">
        <f t="shared" si="0"/>
        <v>kgCO2e/kWh</v>
      </c>
      <c r="G33" s="72" t="s">
        <v>1447</v>
      </c>
    </row>
    <row r="34" spans="2:7">
      <c r="B34" s="402" t="s">
        <v>204</v>
      </c>
      <c r="C34" s="72">
        <v>2020</v>
      </c>
      <c r="D34" s="72" t="s">
        <v>200</v>
      </c>
      <c r="E34" s="337">
        <v>383.4</v>
      </c>
      <c r="F34" s="109" t="str">
        <f t="shared" si="0"/>
        <v>kgCO2e/MWh</v>
      </c>
      <c r="G34" s="72" t="s">
        <v>1447</v>
      </c>
    </row>
    <row r="35" spans="2:7">
      <c r="B35" s="402" t="s">
        <v>204</v>
      </c>
      <c r="C35" s="72">
        <v>2020</v>
      </c>
      <c r="D35" s="72" t="s">
        <v>201</v>
      </c>
      <c r="E35" s="338">
        <f>383.4*D2</f>
        <v>383400</v>
      </c>
      <c r="F35" s="109" t="str">
        <f t="shared" si="0"/>
        <v>kgCO2e/GWh</v>
      </c>
      <c r="G35" s="72" t="s">
        <v>1447</v>
      </c>
    </row>
    <row r="36" spans="2:7">
      <c r="B36" s="402" t="s">
        <v>204</v>
      </c>
      <c r="C36" s="72">
        <v>2020</v>
      </c>
      <c r="D36" s="72" t="s">
        <v>202</v>
      </c>
      <c r="E36" s="339">
        <f>383.4*D3</f>
        <v>0.38339999999999996</v>
      </c>
      <c r="F36" s="109" t="str">
        <f t="shared" si="0"/>
        <v>kgCO2e/kWh</v>
      </c>
      <c r="G36" s="72" t="s">
        <v>1447</v>
      </c>
    </row>
    <row r="37" spans="2:7">
      <c r="B37" s="402" t="s">
        <v>204</v>
      </c>
      <c r="C37" s="72">
        <v>2021</v>
      </c>
      <c r="D37" s="72" t="s">
        <v>200</v>
      </c>
      <c r="E37" s="337">
        <v>390.7</v>
      </c>
      <c r="F37" s="109" t="str">
        <f t="shared" si="0"/>
        <v>kgCO2e/MWh</v>
      </c>
      <c r="G37" s="72" t="s">
        <v>1447</v>
      </c>
    </row>
    <row r="38" spans="2:7">
      <c r="B38" s="402" t="s">
        <v>204</v>
      </c>
      <c r="C38" s="72">
        <v>2021</v>
      </c>
      <c r="D38" s="72" t="s">
        <v>201</v>
      </c>
      <c r="E38" s="338">
        <f>390.7*D2</f>
        <v>390700</v>
      </c>
      <c r="F38" s="109" t="str">
        <f t="shared" si="0"/>
        <v>kgCO2e/GWh</v>
      </c>
      <c r="G38" s="72" t="s">
        <v>1447</v>
      </c>
    </row>
    <row r="39" spans="2:7">
      <c r="B39" s="402" t="s">
        <v>204</v>
      </c>
      <c r="C39" s="72">
        <v>2021</v>
      </c>
      <c r="D39" s="72" t="s">
        <v>202</v>
      </c>
      <c r="E39" s="339">
        <f>390.7*D3</f>
        <v>0.39069999999999999</v>
      </c>
      <c r="F39" s="109" t="str">
        <f t="shared" si="0"/>
        <v>kgCO2e/kWh</v>
      </c>
      <c r="G39" s="72" t="s">
        <v>1447</v>
      </c>
    </row>
    <row r="40" spans="2:7">
      <c r="B40" s="402" t="s">
        <v>204</v>
      </c>
      <c r="C40" s="72">
        <v>2022</v>
      </c>
      <c r="D40" s="72" t="s">
        <v>200</v>
      </c>
      <c r="E40" s="337">
        <v>300.60000000000002</v>
      </c>
      <c r="F40" s="109" t="str">
        <f t="shared" si="0"/>
        <v>kgCO2e/MWh</v>
      </c>
      <c r="G40" s="72" t="s">
        <v>1447</v>
      </c>
    </row>
    <row r="41" spans="2:7">
      <c r="B41" s="402" t="s">
        <v>204</v>
      </c>
      <c r="C41" s="72">
        <v>2022</v>
      </c>
      <c r="D41" s="72" t="s">
        <v>201</v>
      </c>
      <c r="E41" s="338">
        <f>300.6*D2</f>
        <v>300600</v>
      </c>
      <c r="F41" s="109" t="str">
        <f t="shared" si="0"/>
        <v>kgCO2e/GWh</v>
      </c>
      <c r="G41" s="72" t="s">
        <v>1447</v>
      </c>
    </row>
    <row r="42" spans="2:7">
      <c r="B42" s="402" t="s">
        <v>204</v>
      </c>
      <c r="C42" s="72">
        <v>2022</v>
      </c>
      <c r="D42" s="72" t="s">
        <v>202</v>
      </c>
      <c r="E42" s="339">
        <f>300.6*D3</f>
        <v>0.30060000000000003</v>
      </c>
      <c r="F42" s="109" t="str">
        <f t="shared" si="0"/>
        <v>kgCO2e/kWh</v>
      </c>
      <c r="G42" s="72" t="s">
        <v>1447</v>
      </c>
    </row>
    <row r="43" spans="2:7">
      <c r="B43" s="402" t="s">
        <v>204</v>
      </c>
      <c r="C43" s="72">
        <v>2023</v>
      </c>
      <c r="D43" s="72" t="s">
        <v>200</v>
      </c>
      <c r="E43" s="337">
        <v>242.1</v>
      </c>
      <c r="F43" s="109" t="str">
        <f t="shared" si="0"/>
        <v>kgCO2e/MWh</v>
      </c>
      <c r="G43" s="72" t="s">
        <v>1447</v>
      </c>
    </row>
    <row r="44" spans="2:7">
      <c r="B44" s="402" t="s">
        <v>204</v>
      </c>
      <c r="C44" s="72">
        <v>2023</v>
      </c>
      <c r="D44" s="72" t="s">
        <v>201</v>
      </c>
      <c r="E44" s="338">
        <f>242.1*D2</f>
        <v>242100</v>
      </c>
      <c r="F44" s="109" t="str">
        <f t="shared" si="0"/>
        <v>kgCO2e/GWh</v>
      </c>
      <c r="G44" s="72" t="s">
        <v>1447</v>
      </c>
    </row>
    <row r="45" spans="2:7">
      <c r="B45" s="402" t="s">
        <v>204</v>
      </c>
      <c r="C45" s="72">
        <v>2023</v>
      </c>
      <c r="D45" s="72" t="s">
        <v>202</v>
      </c>
      <c r="E45" s="339">
        <f>242.1*D3</f>
        <v>0.24210000000000001</v>
      </c>
      <c r="F45" s="109" t="str">
        <f t="shared" si="0"/>
        <v>kgCO2e/kWh</v>
      </c>
      <c r="G45" s="72" t="s">
        <v>1447</v>
      </c>
    </row>
    <row r="46" spans="2:7">
      <c r="B46" s="402" t="s">
        <v>204</v>
      </c>
      <c r="C46" s="72">
        <v>2024</v>
      </c>
      <c r="D46" s="72" t="s">
        <v>200</v>
      </c>
      <c r="E46" s="337">
        <v>202.1</v>
      </c>
      <c r="F46" s="109" t="str">
        <f t="shared" si="0"/>
        <v>kgCO2e/MWh</v>
      </c>
      <c r="G46" s="72" t="s">
        <v>1447</v>
      </c>
    </row>
    <row r="47" spans="2:7">
      <c r="B47" s="402" t="s">
        <v>204</v>
      </c>
      <c r="C47" s="72">
        <v>2024</v>
      </c>
      <c r="D47" s="72" t="s">
        <v>201</v>
      </c>
      <c r="E47" s="338">
        <f>202.1*D2</f>
        <v>202100</v>
      </c>
      <c r="F47" s="109" t="str">
        <f t="shared" si="0"/>
        <v>kgCO2e/GWh</v>
      </c>
      <c r="G47" s="72" t="s">
        <v>1447</v>
      </c>
    </row>
    <row r="48" spans="2:7">
      <c r="B48" s="402" t="s">
        <v>204</v>
      </c>
      <c r="C48" s="72">
        <v>2024</v>
      </c>
      <c r="D48" s="72" t="s">
        <v>202</v>
      </c>
      <c r="E48" s="339">
        <f>202.1*D3</f>
        <v>0.2021</v>
      </c>
      <c r="F48" s="109" t="str">
        <f t="shared" si="0"/>
        <v>kgCO2e/kWh</v>
      </c>
      <c r="G48" s="72" t="s">
        <v>1447</v>
      </c>
    </row>
    <row r="49" spans="2:7">
      <c r="B49" s="72" t="s">
        <v>205</v>
      </c>
      <c r="C49" s="72">
        <v>2015</v>
      </c>
      <c r="D49" s="72" t="s">
        <v>200</v>
      </c>
      <c r="E49" s="337">
        <v>300.58332999999999</v>
      </c>
      <c r="F49" s="109" t="str">
        <f t="shared" si="0"/>
        <v>kgCO2e/MWh</v>
      </c>
      <c r="G49" s="72" t="s">
        <v>1448</v>
      </c>
    </row>
    <row r="50" spans="2:7">
      <c r="B50" s="72" t="s">
        <v>205</v>
      </c>
      <c r="C50" s="72">
        <v>2015</v>
      </c>
      <c r="D50" s="72" t="s">
        <v>201</v>
      </c>
      <c r="E50" s="338">
        <f>300.58333*D2</f>
        <v>300583.33</v>
      </c>
      <c r="F50" s="109" t="str">
        <f t="shared" si="0"/>
        <v>kgCO2e/GWh</v>
      </c>
      <c r="G50" s="72" t="s">
        <v>1448</v>
      </c>
    </row>
    <row r="51" spans="2:7">
      <c r="B51" s="72" t="s">
        <v>205</v>
      </c>
      <c r="C51" s="72">
        <v>2015</v>
      </c>
      <c r="D51" s="72" t="s">
        <v>202</v>
      </c>
      <c r="E51" s="339">
        <f>300.58333*D3</f>
        <v>0.30058332999999998</v>
      </c>
      <c r="F51" s="109" t="str">
        <f t="shared" si="0"/>
        <v>kgCO2e/kWh</v>
      </c>
      <c r="G51" s="72" t="s">
        <v>1448</v>
      </c>
    </row>
    <row r="52" spans="2:7">
      <c r="B52" s="72" t="s">
        <v>205</v>
      </c>
      <c r="C52" s="72">
        <v>2016</v>
      </c>
      <c r="D52" s="72" t="s">
        <v>200</v>
      </c>
      <c r="E52" s="337">
        <v>402.66667000000001</v>
      </c>
      <c r="F52" s="109" t="str">
        <f t="shared" si="0"/>
        <v>kgCO2e/MWh</v>
      </c>
      <c r="G52" s="72" t="s">
        <v>1448</v>
      </c>
    </row>
    <row r="53" spans="2:7">
      <c r="B53" s="72" t="s">
        <v>205</v>
      </c>
      <c r="C53" s="72">
        <v>2016</v>
      </c>
      <c r="D53" s="72" t="s">
        <v>201</v>
      </c>
      <c r="E53" s="338">
        <f>402.66667*D2</f>
        <v>402666.67</v>
      </c>
      <c r="F53" s="109" t="str">
        <f t="shared" si="0"/>
        <v>kgCO2e/GWh</v>
      </c>
      <c r="G53" s="72" t="s">
        <v>1448</v>
      </c>
    </row>
    <row r="54" spans="2:7">
      <c r="B54" s="72" t="s">
        <v>205</v>
      </c>
      <c r="C54" s="72">
        <v>2016</v>
      </c>
      <c r="D54" s="72" t="s">
        <v>202</v>
      </c>
      <c r="E54" s="339">
        <f>402.66667*D3</f>
        <v>0.40266667</v>
      </c>
      <c r="F54" s="109" t="str">
        <f t="shared" si="0"/>
        <v>kgCO2e/kWh</v>
      </c>
      <c r="G54" s="72" t="s">
        <v>1448</v>
      </c>
    </row>
    <row r="55" spans="2:7">
      <c r="B55" s="72" t="s">
        <v>205</v>
      </c>
      <c r="C55" s="72">
        <v>2017</v>
      </c>
      <c r="D55" s="72" t="s">
        <v>200</v>
      </c>
      <c r="E55" s="337">
        <v>194</v>
      </c>
      <c r="F55" s="109" t="str">
        <f t="shared" si="0"/>
        <v>kgCO2e/MWh</v>
      </c>
      <c r="G55" s="72" t="s">
        <v>1448</v>
      </c>
    </row>
    <row r="56" spans="2:7">
      <c r="B56" s="72" t="s">
        <v>205</v>
      </c>
      <c r="C56" s="72">
        <v>2017</v>
      </c>
      <c r="D56" s="72" t="s">
        <v>201</v>
      </c>
      <c r="E56" s="338">
        <f>194*D2</f>
        <v>194000</v>
      </c>
      <c r="F56" s="109" t="str">
        <f t="shared" si="0"/>
        <v>kgCO2e/GWh</v>
      </c>
      <c r="G56" s="72" t="s">
        <v>1448</v>
      </c>
    </row>
    <row r="57" spans="2:7">
      <c r="B57" s="72" t="s">
        <v>205</v>
      </c>
      <c r="C57" s="72">
        <v>2017</v>
      </c>
      <c r="D57" s="72" t="s">
        <v>202</v>
      </c>
      <c r="E57" s="339">
        <f>194*D3</f>
        <v>0.19400000000000001</v>
      </c>
      <c r="F57" s="109" t="str">
        <f t="shared" si="0"/>
        <v>kgCO2e/kWh</v>
      </c>
      <c r="G57" s="72" t="s">
        <v>1448</v>
      </c>
    </row>
    <row r="58" spans="2:7">
      <c r="B58" s="72" t="s">
        <v>205</v>
      </c>
      <c r="C58" s="72">
        <v>2018</v>
      </c>
      <c r="D58" s="72" t="s">
        <v>200</v>
      </c>
      <c r="E58" s="337">
        <v>229.16666667000001</v>
      </c>
      <c r="F58" s="109" t="str">
        <f t="shared" si="0"/>
        <v>kgCO2e/MWh</v>
      </c>
      <c r="G58" s="72" t="s">
        <v>1448</v>
      </c>
    </row>
    <row r="59" spans="2:7">
      <c r="B59" s="72" t="s">
        <v>205</v>
      </c>
      <c r="C59" s="72">
        <v>2018</v>
      </c>
      <c r="D59" s="72" t="s">
        <v>201</v>
      </c>
      <c r="E59" s="338">
        <f>229.16666667*D2</f>
        <v>229166.66667000001</v>
      </c>
      <c r="F59" s="109" t="str">
        <f t="shared" si="0"/>
        <v>kgCO2e/GWh</v>
      </c>
      <c r="G59" s="72" t="s">
        <v>1448</v>
      </c>
    </row>
    <row r="60" spans="2:7">
      <c r="B60" s="72" t="s">
        <v>205</v>
      </c>
      <c r="C60" s="72">
        <v>2018</v>
      </c>
      <c r="D60" s="72" t="s">
        <v>202</v>
      </c>
      <c r="E60" s="339">
        <f>229.16666667*D3</f>
        <v>0.22916666667000002</v>
      </c>
      <c r="F60" s="109" t="str">
        <f t="shared" si="0"/>
        <v>kgCO2e/kWh</v>
      </c>
      <c r="G60" s="72" t="s">
        <v>1448</v>
      </c>
    </row>
    <row r="61" spans="2:7">
      <c r="B61" s="72" t="s">
        <v>205</v>
      </c>
      <c r="C61" s="72">
        <v>2019</v>
      </c>
      <c r="D61" s="72" t="s">
        <v>200</v>
      </c>
      <c r="E61" s="337">
        <v>311.16666666999998</v>
      </c>
      <c r="F61" s="109" t="str">
        <f t="shared" si="0"/>
        <v>kgCO2e/MWh</v>
      </c>
      <c r="G61" s="72" t="s">
        <v>1448</v>
      </c>
    </row>
    <row r="62" spans="2:7">
      <c r="B62" s="72" t="s">
        <v>205</v>
      </c>
      <c r="C62" s="72">
        <v>2019</v>
      </c>
      <c r="D62" s="72" t="s">
        <v>201</v>
      </c>
      <c r="E62" s="338">
        <f>311.16666667*D2</f>
        <v>311166.66667000001</v>
      </c>
      <c r="F62" s="109" t="str">
        <f t="shared" si="0"/>
        <v>kgCO2e/GWh</v>
      </c>
      <c r="G62" s="72" t="s">
        <v>1448</v>
      </c>
    </row>
    <row r="63" spans="2:7">
      <c r="B63" s="72" t="s">
        <v>205</v>
      </c>
      <c r="C63" s="72">
        <v>2019</v>
      </c>
      <c r="D63" s="72" t="s">
        <v>202</v>
      </c>
      <c r="E63" s="339">
        <f>311.16666667*D3</f>
        <v>0.31116666666999998</v>
      </c>
      <c r="F63" s="109" t="str">
        <f t="shared" si="0"/>
        <v>kgCO2e/kWh</v>
      </c>
      <c r="G63" s="72" t="s">
        <v>1448</v>
      </c>
    </row>
    <row r="64" spans="2:7">
      <c r="B64" s="72" t="s">
        <v>205</v>
      </c>
      <c r="C64" s="72">
        <v>2020</v>
      </c>
      <c r="D64" s="72" t="s">
        <v>200</v>
      </c>
      <c r="E64" s="337">
        <v>308.08333333000002</v>
      </c>
      <c r="F64" s="109" t="str">
        <f t="shared" si="0"/>
        <v>kgCO2e/MWh</v>
      </c>
      <c r="G64" s="72" t="s">
        <v>1448</v>
      </c>
    </row>
    <row r="65" spans="2:7">
      <c r="B65" s="72" t="s">
        <v>205</v>
      </c>
      <c r="C65" s="72">
        <v>2020</v>
      </c>
      <c r="D65" s="72" t="s">
        <v>201</v>
      </c>
      <c r="E65" s="338">
        <f>308.08333333*D2</f>
        <v>308083.33332999999</v>
      </c>
      <c r="F65" s="109" t="str">
        <f t="shared" si="0"/>
        <v>kgCO2e/GWh</v>
      </c>
      <c r="G65" s="72" t="s">
        <v>1448</v>
      </c>
    </row>
    <row r="66" spans="2:7">
      <c r="B66" s="72" t="s">
        <v>205</v>
      </c>
      <c r="C66" s="72">
        <v>2020</v>
      </c>
      <c r="D66" s="72" t="s">
        <v>202</v>
      </c>
      <c r="E66" s="339">
        <f>308.08333333*D3</f>
        <v>0.30808333333000004</v>
      </c>
      <c r="F66" s="109" t="str">
        <f t="shared" si="0"/>
        <v>kgCO2e/kWh</v>
      </c>
      <c r="G66" s="72" t="s">
        <v>1448</v>
      </c>
    </row>
    <row r="67" spans="2:7">
      <c r="B67" s="72" t="s">
        <v>205</v>
      </c>
      <c r="C67" s="72">
        <v>2021</v>
      </c>
      <c r="D67" s="72" t="s">
        <v>200</v>
      </c>
      <c r="E67" s="337">
        <v>372.25</v>
      </c>
      <c r="F67" s="109" t="str">
        <f t="shared" si="0"/>
        <v>kgCO2e/MWh</v>
      </c>
      <c r="G67" s="72" t="s">
        <v>1448</v>
      </c>
    </row>
    <row r="68" spans="2:7">
      <c r="B68" s="72" t="s">
        <v>205</v>
      </c>
      <c r="C68" s="72">
        <v>2021</v>
      </c>
      <c r="D68" s="72" t="s">
        <v>201</v>
      </c>
      <c r="E68" s="338">
        <f>372.25*D2</f>
        <v>372250</v>
      </c>
      <c r="F68" s="109" t="str">
        <f t="shared" si="0"/>
        <v>kgCO2e/GWh</v>
      </c>
      <c r="G68" s="72" t="s">
        <v>1448</v>
      </c>
    </row>
    <row r="69" spans="2:7">
      <c r="B69" s="72" t="s">
        <v>205</v>
      </c>
      <c r="C69" s="72">
        <v>2021</v>
      </c>
      <c r="D69" s="72" t="s">
        <v>202</v>
      </c>
      <c r="E69" s="339">
        <f>372.25*D3</f>
        <v>0.37225000000000003</v>
      </c>
      <c r="F69" s="109" t="str">
        <f t="shared" si="0"/>
        <v>kgCO2e/kWh</v>
      </c>
      <c r="G69" s="72" t="s">
        <v>1448</v>
      </c>
    </row>
    <row r="70" spans="2:7">
      <c r="B70" s="72" t="s">
        <v>205</v>
      </c>
      <c r="C70" s="72">
        <v>2022</v>
      </c>
      <c r="D70" s="72" t="s">
        <v>200</v>
      </c>
      <c r="E70" s="337">
        <v>386.5</v>
      </c>
      <c r="F70" s="109" t="str">
        <f t="shared" si="0"/>
        <v>kgCO2e/MWh</v>
      </c>
      <c r="G70" s="72" t="s">
        <v>1448</v>
      </c>
    </row>
    <row r="71" spans="2:7">
      <c r="B71" s="72" t="s">
        <v>205</v>
      </c>
      <c r="C71" s="72">
        <v>2022</v>
      </c>
      <c r="D71" s="72" t="s">
        <v>201</v>
      </c>
      <c r="E71" s="338">
        <f>386.5*D2</f>
        <v>386500</v>
      </c>
      <c r="F71" s="109" t="str">
        <f t="shared" si="0"/>
        <v>kgCO2e/GWh</v>
      </c>
      <c r="G71" s="72" t="s">
        <v>1448</v>
      </c>
    </row>
    <row r="72" spans="2:7">
      <c r="B72" s="72" t="s">
        <v>205</v>
      </c>
      <c r="C72" s="72">
        <v>2022</v>
      </c>
      <c r="D72" s="72" t="s">
        <v>202</v>
      </c>
      <c r="E72" s="339">
        <f>386.5*D3</f>
        <v>0.38650000000000001</v>
      </c>
      <c r="F72" s="109" t="str">
        <f t="shared" si="0"/>
        <v>kgCO2e/kWh</v>
      </c>
      <c r="G72" s="72" t="s">
        <v>1448</v>
      </c>
    </row>
    <row r="73" spans="2:7">
      <c r="B73" s="72" t="s">
        <v>205</v>
      </c>
      <c r="C73" s="72">
        <v>2023</v>
      </c>
      <c r="D73" s="72" t="s">
        <v>200</v>
      </c>
      <c r="E73" s="337">
        <v>336.25</v>
      </c>
      <c r="F73" s="109" t="str">
        <f t="shared" si="0"/>
        <v>kgCO2e/MWh</v>
      </c>
      <c r="G73" s="72" t="s">
        <v>1448</v>
      </c>
    </row>
    <row r="74" spans="2:7">
      <c r="B74" s="72" t="s">
        <v>205</v>
      </c>
      <c r="C74" s="72">
        <v>2023</v>
      </c>
      <c r="D74" s="72" t="s">
        <v>201</v>
      </c>
      <c r="E74" s="338">
        <f>336.25*D2</f>
        <v>336250</v>
      </c>
      <c r="F74" s="109" t="str">
        <f t="shared" si="0"/>
        <v>kgCO2e/GWh</v>
      </c>
      <c r="G74" s="72" t="s">
        <v>1448</v>
      </c>
    </row>
    <row r="75" spans="2:7">
      <c r="B75" s="72" t="s">
        <v>205</v>
      </c>
      <c r="C75" s="72">
        <v>2023</v>
      </c>
      <c r="D75" s="72" t="s">
        <v>202</v>
      </c>
      <c r="E75" s="339">
        <f>336.25*D3</f>
        <v>0.33624999999999999</v>
      </c>
      <c r="F75" s="109" t="str">
        <f t="shared" ref="F75:F138" si="1">"kgCO2e/"&amp;D75</f>
        <v>kgCO2e/kWh</v>
      </c>
      <c r="G75" s="72" t="s">
        <v>1448</v>
      </c>
    </row>
    <row r="76" spans="2:7">
      <c r="B76" s="72" t="s">
        <v>205</v>
      </c>
      <c r="C76" s="72">
        <v>2024</v>
      </c>
      <c r="D76" s="72" t="s">
        <v>200</v>
      </c>
      <c r="E76" s="340" t="s">
        <v>1449</v>
      </c>
      <c r="F76" s="109" t="str">
        <f t="shared" si="1"/>
        <v>kgCO2e/MWh</v>
      </c>
      <c r="G76" s="72" t="s">
        <v>1448</v>
      </c>
    </row>
    <row r="77" spans="2:7">
      <c r="B77" s="72" t="s">
        <v>205</v>
      </c>
      <c r="C77" s="72">
        <v>2024</v>
      </c>
      <c r="D77" s="72" t="s">
        <v>201</v>
      </c>
      <c r="E77" s="340" t="s">
        <v>1449</v>
      </c>
      <c r="F77" s="109" t="str">
        <f t="shared" si="1"/>
        <v>kgCO2e/GWh</v>
      </c>
      <c r="G77" s="72" t="s">
        <v>1448</v>
      </c>
    </row>
    <row r="78" spans="2:7">
      <c r="B78" s="72" t="s">
        <v>205</v>
      </c>
      <c r="C78" s="72">
        <v>2024</v>
      </c>
      <c r="D78" s="72" t="s">
        <v>202</v>
      </c>
      <c r="E78" s="340" t="s">
        <v>1449</v>
      </c>
      <c r="F78" s="109" t="str">
        <f t="shared" si="1"/>
        <v>kgCO2e/kWh</v>
      </c>
      <c r="G78" s="72" t="s">
        <v>1448</v>
      </c>
    </row>
    <row r="79" spans="2:7">
      <c r="B79" s="72" t="s">
        <v>206</v>
      </c>
      <c r="C79" s="72">
        <v>2015</v>
      </c>
      <c r="D79" s="72" t="s">
        <v>200</v>
      </c>
      <c r="E79" s="337">
        <v>568.33333000000005</v>
      </c>
      <c r="F79" s="109" t="str">
        <f t="shared" si="1"/>
        <v>kgCO2e/MWh</v>
      </c>
      <c r="G79" s="72" t="s">
        <v>1448</v>
      </c>
    </row>
    <row r="80" spans="2:7">
      <c r="B80" s="72" t="s">
        <v>206</v>
      </c>
      <c r="C80" s="72">
        <v>2015</v>
      </c>
      <c r="D80" s="72" t="s">
        <v>201</v>
      </c>
      <c r="E80" s="338">
        <f>568.33333*D2</f>
        <v>568333.33000000007</v>
      </c>
      <c r="F80" s="109" t="str">
        <f t="shared" si="1"/>
        <v>kgCO2e/GWh</v>
      </c>
      <c r="G80" s="72" t="s">
        <v>1448</v>
      </c>
    </row>
    <row r="81" spans="2:7">
      <c r="B81" s="72" t="s">
        <v>206</v>
      </c>
      <c r="C81" s="72">
        <v>2015</v>
      </c>
      <c r="D81" s="72" t="s">
        <v>202</v>
      </c>
      <c r="E81" s="339">
        <f>568.33333*D3</f>
        <v>0.56833333000000008</v>
      </c>
      <c r="F81" s="109" t="str">
        <f t="shared" si="1"/>
        <v>kgCO2e/kWh</v>
      </c>
      <c r="G81" s="72" t="s">
        <v>1448</v>
      </c>
    </row>
    <row r="82" spans="2:7">
      <c r="B82" s="72" t="s">
        <v>206</v>
      </c>
      <c r="C82" s="72">
        <v>2016</v>
      </c>
      <c r="D82" s="72" t="s">
        <v>200</v>
      </c>
      <c r="E82" s="337">
        <v>567.08333000000005</v>
      </c>
      <c r="F82" s="109" t="str">
        <f t="shared" si="1"/>
        <v>kgCO2e/MWh</v>
      </c>
      <c r="G82" s="72" t="s">
        <v>1448</v>
      </c>
    </row>
    <row r="83" spans="2:7">
      <c r="B83" s="72" t="s">
        <v>206</v>
      </c>
      <c r="C83" s="72">
        <v>2016</v>
      </c>
      <c r="D83" s="72" t="s">
        <v>201</v>
      </c>
      <c r="E83" s="338">
        <f>567.08333*D2</f>
        <v>567083.33000000007</v>
      </c>
      <c r="F83" s="109" t="str">
        <f t="shared" si="1"/>
        <v>kgCO2e/GWh</v>
      </c>
      <c r="G83" s="72" t="s">
        <v>1448</v>
      </c>
    </row>
    <row r="84" spans="2:7">
      <c r="B84" s="72" t="s">
        <v>206</v>
      </c>
      <c r="C84" s="72">
        <v>2016</v>
      </c>
      <c r="D84" s="72" t="s">
        <v>202</v>
      </c>
      <c r="E84" s="339">
        <f>567.08333*D3</f>
        <v>0.56708333000000011</v>
      </c>
      <c r="F84" s="109" t="str">
        <f t="shared" si="1"/>
        <v>kgCO2e/kWh</v>
      </c>
      <c r="G84" s="72" t="s">
        <v>1448</v>
      </c>
    </row>
    <row r="85" spans="2:7">
      <c r="B85" s="72" t="s">
        <v>206</v>
      </c>
      <c r="C85" s="72">
        <v>2017</v>
      </c>
      <c r="D85" s="72" t="s">
        <v>200</v>
      </c>
      <c r="E85" s="337">
        <v>567.75</v>
      </c>
      <c r="F85" s="109" t="str">
        <f t="shared" si="1"/>
        <v>kgCO2e/MWh</v>
      </c>
      <c r="G85" s="72" t="s">
        <v>1448</v>
      </c>
    </row>
    <row r="86" spans="2:7">
      <c r="B86" s="72" t="s">
        <v>206</v>
      </c>
      <c r="C86" s="72">
        <v>2017</v>
      </c>
      <c r="D86" s="72" t="s">
        <v>201</v>
      </c>
      <c r="E86" s="338">
        <f>567.75*D2</f>
        <v>567750</v>
      </c>
      <c r="F86" s="109" t="str">
        <f t="shared" si="1"/>
        <v>kgCO2e/GWh</v>
      </c>
      <c r="G86" s="72" t="s">
        <v>1448</v>
      </c>
    </row>
    <row r="87" spans="2:7">
      <c r="B87" s="72" t="s">
        <v>206</v>
      </c>
      <c r="C87" s="72">
        <v>2017</v>
      </c>
      <c r="D87" s="72" t="s">
        <v>202</v>
      </c>
      <c r="E87" s="339">
        <f>567.75*D3</f>
        <v>0.56774999999999998</v>
      </c>
      <c r="F87" s="109" t="str">
        <f t="shared" si="1"/>
        <v>kgCO2e/kWh</v>
      </c>
      <c r="G87" s="72" t="s">
        <v>1448</v>
      </c>
    </row>
    <row r="88" spans="2:7">
      <c r="B88" s="72" t="s">
        <v>206</v>
      </c>
      <c r="C88" s="72">
        <v>2018</v>
      </c>
      <c r="D88" s="72" t="s">
        <v>200</v>
      </c>
      <c r="E88" s="337">
        <v>572</v>
      </c>
      <c r="F88" s="109" t="str">
        <f t="shared" si="1"/>
        <v>kgCO2e/MWh</v>
      </c>
      <c r="G88" s="72" t="s">
        <v>1448</v>
      </c>
    </row>
    <row r="89" spans="2:7">
      <c r="B89" s="72" t="s">
        <v>206</v>
      </c>
      <c r="C89" s="72">
        <v>2018</v>
      </c>
      <c r="D89" s="72" t="s">
        <v>201</v>
      </c>
      <c r="E89" s="338">
        <f>572*D2</f>
        <v>572000</v>
      </c>
      <c r="F89" s="109" t="str">
        <f t="shared" si="1"/>
        <v>kgCO2e/GWh</v>
      </c>
      <c r="G89" s="72" t="s">
        <v>1448</v>
      </c>
    </row>
    <row r="90" spans="2:7">
      <c r="B90" s="72" t="s">
        <v>206</v>
      </c>
      <c r="C90" s="72">
        <v>2018</v>
      </c>
      <c r="D90" s="72" t="s">
        <v>202</v>
      </c>
      <c r="E90" s="339">
        <f>572*D3</f>
        <v>0.57200000000000006</v>
      </c>
      <c r="F90" s="109" t="str">
        <f t="shared" si="1"/>
        <v>kgCO2e/kWh</v>
      </c>
      <c r="G90" s="72" t="s">
        <v>1448</v>
      </c>
    </row>
    <row r="91" spans="2:7">
      <c r="B91" s="72" t="s">
        <v>206</v>
      </c>
      <c r="C91" s="72">
        <v>2019</v>
      </c>
      <c r="D91" s="72" t="s">
        <v>200</v>
      </c>
      <c r="E91" s="337">
        <v>595.66666999999995</v>
      </c>
      <c r="F91" s="109" t="str">
        <f t="shared" si="1"/>
        <v>kgCO2e/MWh</v>
      </c>
      <c r="G91" s="72" t="s">
        <v>1448</v>
      </c>
    </row>
    <row r="92" spans="2:7">
      <c r="B92" s="72" t="s">
        <v>206</v>
      </c>
      <c r="C92" s="72">
        <v>2019</v>
      </c>
      <c r="D92" s="72" t="s">
        <v>201</v>
      </c>
      <c r="E92" s="338">
        <f>595.66667*D2</f>
        <v>595666.66999999993</v>
      </c>
      <c r="F92" s="109" t="str">
        <f t="shared" si="1"/>
        <v>kgCO2e/GWh</v>
      </c>
      <c r="G92" s="72" t="s">
        <v>1448</v>
      </c>
    </row>
    <row r="93" spans="2:7">
      <c r="B93" s="72" t="s">
        <v>206</v>
      </c>
      <c r="C93" s="72">
        <v>2019</v>
      </c>
      <c r="D93" s="72" t="s">
        <v>202</v>
      </c>
      <c r="E93" s="339">
        <f>595.66667*D3</f>
        <v>0.59566666999999995</v>
      </c>
      <c r="F93" s="109" t="str">
        <f t="shared" si="1"/>
        <v>kgCO2e/kWh</v>
      </c>
      <c r="G93" s="72" t="s">
        <v>1448</v>
      </c>
    </row>
    <row r="94" spans="2:7">
      <c r="B94" s="72" t="s">
        <v>206</v>
      </c>
      <c r="C94" s="72">
        <v>2020</v>
      </c>
      <c r="D94" s="72" t="s">
        <v>200</v>
      </c>
      <c r="E94" s="337">
        <v>579.5</v>
      </c>
      <c r="F94" s="109" t="str">
        <f t="shared" si="1"/>
        <v>kgCO2e/MWh</v>
      </c>
      <c r="G94" s="72" t="s">
        <v>1448</v>
      </c>
    </row>
    <row r="95" spans="2:7">
      <c r="B95" s="72" t="s">
        <v>206</v>
      </c>
      <c r="C95" s="72">
        <v>2020</v>
      </c>
      <c r="D95" s="72" t="s">
        <v>201</v>
      </c>
      <c r="E95" s="338">
        <f>579.5*D2</f>
        <v>579500</v>
      </c>
      <c r="F95" s="109" t="str">
        <f t="shared" si="1"/>
        <v>kgCO2e/GWh</v>
      </c>
      <c r="G95" s="72" t="s">
        <v>1448</v>
      </c>
    </row>
    <row r="96" spans="2:7">
      <c r="B96" s="72" t="s">
        <v>206</v>
      </c>
      <c r="C96" s="72">
        <v>2020</v>
      </c>
      <c r="D96" s="72" t="s">
        <v>202</v>
      </c>
      <c r="E96" s="339">
        <f>579.5*D3</f>
        <v>0.57950000000000002</v>
      </c>
      <c r="F96" s="109" t="str">
        <f t="shared" si="1"/>
        <v>kgCO2e/kWh</v>
      </c>
      <c r="G96" s="72" t="s">
        <v>1448</v>
      </c>
    </row>
    <row r="97" spans="2:7">
      <c r="B97" s="72" t="s">
        <v>206</v>
      </c>
      <c r="C97" s="72">
        <v>2021</v>
      </c>
      <c r="D97" s="72" t="s">
        <v>200</v>
      </c>
      <c r="E97" s="337">
        <v>557.25</v>
      </c>
      <c r="F97" s="109" t="str">
        <f t="shared" si="1"/>
        <v>kgCO2e/MWh</v>
      </c>
      <c r="G97" s="72" t="s">
        <v>1448</v>
      </c>
    </row>
    <row r="98" spans="2:7">
      <c r="B98" s="72" t="s">
        <v>206</v>
      </c>
      <c r="C98" s="72">
        <v>2021</v>
      </c>
      <c r="D98" s="72" t="s">
        <v>201</v>
      </c>
      <c r="E98" s="338">
        <f>557.25*D2</f>
        <v>557250</v>
      </c>
      <c r="F98" s="109" t="str">
        <f t="shared" si="1"/>
        <v>kgCO2e/GWh</v>
      </c>
      <c r="G98" s="72" t="s">
        <v>1448</v>
      </c>
    </row>
    <row r="99" spans="2:7">
      <c r="B99" s="72" t="s">
        <v>206</v>
      </c>
      <c r="C99" s="72">
        <v>2021</v>
      </c>
      <c r="D99" s="72" t="s">
        <v>202</v>
      </c>
      <c r="E99" s="339">
        <f>557.25*D3</f>
        <v>0.55725000000000002</v>
      </c>
      <c r="F99" s="109" t="str">
        <f t="shared" si="1"/>
        <v>kgCO2e/kWh</v>
      </c>
      <c r="G99" s="72" t="s">
        <v>1448</v>
      </c>
    </row>
    <row r="100" spans="2:7">
      <c r="B100" s="72" t="s">
        <v>206</v>
      </c>
      <c r="C100" s="72">
        <v>2022</v>
      </c>
      <c r="D100" s="72" t="s">
        <v>200</v>
      </c>
      <c r="E100" s="337">
        <v>562.75</v>
      </c>
      <c r="F100" s="109" t="str">
        <f t="shared" si="1"/>
        <v>kgCO2e/MWh</v>
      </c>
      <c r="G100" s="72" t="s">
        <v>1448</v>
      </c>
    </row>
    <row r="101" spans="2:7">
      <c r="B101" s="72" t="s">
        <v>206</v>
      </c>
      <c r="C101" s="72">
        <v>2022</v>
      </c>
      <c r="D101" s="72" t="s">
        <v>201</v>
      </c>
      <c r="E101" s="338">
        <f>562.75*D2</f>
        <v>562750</v>
      </c>
      <c r="F101" s="109" t="str">
        <f t="shared" si="1"/>
        <v>kgCO2e/GWh</v>
      </c>
      <c r="G101" s="72" t="s">
        <v>1448</v>
      </c>
    </row>
    <row r="102" spans="2:7">
      <c r="B102" s="72" t="s">
        <v>206</v>
      </c>
      <c r="C102" s="72">
        <v>2022</v>
      </c>
      <c r="D102" s="72" t="s">
        <v>202</v>
      </c>
      <c r="E102" s="339">
        <f>562.75*D3</f>
        <v>0.56274999999999997</v>
      </c>
      <c r="F102" s="109" t="str">
        <f t="shared" si="1"/>
        <v>kgCO2e/kWh</v>
      </c>
      <c r="G102" s="72" t="s">
        <v>1448</v>
      </c>
    </row>
    <row r="103" spans="2:7">
      <c r="B103" s="72" t="s">
        <v>206</v>
      </c>
      <c r="C103" s="72">
        <v>2023</v>
      </c>
      <c r="D103" s="72" t="s">
        <v>200</v>
      </c>
      <c r="E103" s="337">
        <v>592.83333000000005</v>
      </c>
      <c r="F103" s="109" t="str">
        <f t="shared" si="1"/>
        <v>kgCO2e/MWh</v>
      </c>
      <c r="G103" s="72" t="s">
        <v>1448</v>
      </c>
    </row>
    <row r="104" spans="2:7">
      <c r="B104" s="72" t="s">
        <v>206</v>
      </c>
      <c r="C104" s="72">
        <v>2023</v>
      </c>
      <c r="D104" s="72" t="s">
        <v>201</v>
      </c>
      <c r="E104" s="338">
        <f>592.83333*D2</f>
        <v>592833.33000000007</v>
      </c>
      <c r="F104" s="109" t="str">
        <f t="shared" si="1"/>
        <v>kgCO2e/GWh</v>
      </c>
      <c r="G104" s="72" t="s">
        <v>1448</v>
      </c>
    </row>
    <row r="105" spans="2:7">
      <c r="B105" s="72" t="s">
        <v>206</v>
      </c>
      <c r="C105" s="72">
        <v>2023</v>
      </c>
      <c r="D105" s="72" t="s">
        <v>202</v>
      </c>
      <c r="E105" s="339">
        <f>592.83333*D3</f>
        <v>0.59283333000000005</v>
      </c>
      <c r="F105" s="109" t="str">
        <f t="shared" si="1"/>
        <v>kgCO2e/kWh</v>
      </c>
      <c r="G105" s="72" t="s">
        <v>1448</v>
      </c>
    </row>
    <row r="106" spans="2:7">
      <c r="B106" s="72" t="s">
        <v>206</v>
      </c>
      <c r="C106" s="72">
        <v>2024</v>
      </c>
      <c r="D106" s="72" t="s">
        <v>200</v>
      </c>
      <c r="E106" s="340" t="s">
        <v>1449</v>
      </c>
      <c r="F106" s="109" t="str">
        <f t="shared" si="1"/>
        <v>kgCO2e/MWh</v>
      </c>
      <c r="G106" s="72" t="s">
        <v>1448</v>
      </c>
    </row>
    <row r="107" spans="2:7">
      <c r="B107" s="72" t="s">
        <v>206</v>
      </c>
      <c r="C107" s="72">
        <v>2024</v>
      </c>
      <c r="D107" s="72" t="s">
        <v>201</v>
      </c>
      <c r="E107" s="340" t="s">
        <v>1449</v>
      </c>
      <c r="F107" s="109" t="str">
        <f t="shared" si="1"/>
        <v>kgCO2e/GWh</v>
      </c>
      <c r="G107" s="72" t="s">
        <v>1448</v>
      </c>
    </row>
    <row r="108" spans="2:7">
      <c r="B108" s="72" t="s">
        <v>206</v>
      </c>
      <c r="C108" s="72">
        <v>2024</v>
      </c>
      <c r="D108" s="72" t="s">
        <v>202</v>
      </c>
      <c r="E108" s="340" t="s">
        <v>1449</v>
      </c>
      <c r="F108" s="109" t="str">
        <f t="shared" si="1"/>
        <v>kgCO2e/kWh</v>
      </c>
      <c r="G108" s="72" t="s">
        <v>1448</v>
      </c>
    </row>
    <row r="109" spans="2:7">
      <c r="B109" s="72" t="s">
        <v>207</v>
      </c>
      <c r="C109" s="72">
        <v>2015</v>
      </c>
      <c r="D109" s="72" t="s">
        <v>200</v>
      </c>
      <c r="E109" s="337">
        <v>619</v>
      </c>
      <c r="F109" s="109" t="str">
        <f t="shared" si="1"/>
        <v>kgCO2e/MWh</v>
      </c>
      <c r="G109" s="72" t="s">
        <v>1448</v>
      </c>
    </row>
    <row r="110" spans="2:7">
      <c r="B110" s="72" t="s">
        <v>207</v>
      </c>
      <c r="C110" s="72">
        <v>2015</v>
      </c>
      <c r="D110" s="72" t="s">
        <v>201</v>
      </c>
      <c r="E110" s="338">
        <f>619*D2</f>
        <v>619000</v>
      </c>
      <c r="F110" s="109" t="str">
        <f t="shared" si="1"/>
        <v>kgCO2e/GWh</v>
      </c>
      <c r="G110" s="72" t="s">
        <v>1448</v>
      </c>
    </row>
    <row r="111" spans="2:7">
      <c r="B111" s="72" t="s">
        <v>207</v>
      </c>
      <c r="C111" s="72">
        <v>2015</v>
      </c>
      <c r="D111" s="72" t="s">
        <v>202</v>
      </c>
      <c r="E111" s="339">
        <f>619*D3</f>
        <v>0.61899999999999999</v>
      </c>
      <c r="F111" s="109" t="str">
        <f t="shared" si="1"/>
        <v>kgCO2e/kWh</v>
      </c>
      <c r="G111" s="72" t="s">
        <v>1448</v>
      </c>
    </row>
    <row r="112" spans="2:7">
      <c r="B112" s="72" t="s">
        <v>207</v>
      </c>
      <c r="C112" s="72">
        <v>2016</v>
      </c>
      <c r="D112" s="72" t="s">
        <v>200</v>
      </c>
      <c r="E112" s="337">
        <v>608.41666999999995</v>
      </c>
      <c r="F112" s="109" t="str">
        <f t="shared" si="1"/>
        <v>kgCO2e/MWh</v>
      </c>
      <c r="G112" s="72" t="s">
        <v>1448</v>
      </c>
    </row>
    <row r="113" spans="2:7">
      <c r="B113" s="72" t="s">
        <v>207</v>
      </c>
      <c r="C113" s="72">
        <v>2016</v>
      </c>
      <c r="D113" s="72" t="s">
        <v>201</v>
      </c>
      <c r="E113" s="338">
        <f>608.41667*D2</f>
        <v>608416.66999999993</v>
      </c>
      <c r="F113" s="109" t="str">
        <f t="shared" si="1"/>
        <v>kgCO2e/GWh</v>
      </c>
      <c r="G113" s="72" t="s">
        <v>1448</v>
      </c>
    </row>
    <row r="114" spans="2:7">
      <c r="B114" s="72" t="s">
        <v>207</v>
      </c>
      <c r="C114" s="72">
        <v>2016</v>
      </c>
      <c r="D114" s="72" t="s">
        <v>202</v>
      </c>
      <c r="E114" s="339">
        <f>608.41667*D3</f>
        <v>0.60841666999999999</v>
      </c>
      <c r="F114" s="109" t="str">
        <f t="shared" si="1"/>
        <v>kgCO2e/kWh</v>
      </c>
      <c r="G114" s="72" t="s">
        <v>1448</v>
      </c>
    </row>
    <row r="115" spans="2:7">
      <c r="B115" s="72" t="s">
        <v>207</v>
      </c>
      <c r="C115" s="72">
        <v>2017</v>
      </c>
      <c r="D115" s="72" t="s">
        <v>200</v>
      </c>
      <c r="E115" s="337">
        <v>557.08333000000005</v>
      </c>
      <c r="F115" s="109" t="str">
        <f t="shared" si="1"/>
        <v>kgCO2e/MWh</v>
      </c>
      <c r="G115" s="72" t="s">
        <v>1448</v>
      </c>
    </row>
    <row r="116" spans="2:7">
      <c r="B116" s="72" t="s">
        <v>207</v>
      </c>
      <c r="C116" s="72">
        <v>2017</v>
      </c>
      <c r="D116" s="72" t="s">
        <v>201</v>
      </c>
      <c r="E116" s="338">
        <f>557.08333*D2</f>
        <v>557083.33000000007</v>
      </c>
      <c r="F116" s="109" t="str">
        <f t="shared" si="1"/>
        <v>kgCO2e/GWh</v>
      </c>
      <c r="G116" s="72" t="s">
        <v>1448</v>
      </c>
    </row>
    <row r="117" spans="2:7">
      <c r="B117" s="72" t="s">
        <v>207</v>
      </c>
      <c r="C117" s="72">
        <v>2017</v>
      </c>
      <c r="D117" s="72" t="s">
        <v>202</v>
      </c>
      <c r="E117" s="339">
        <f>557.08333*D3</f>
        <v>0.5570833300000001</v>
      </c>
      <c r="F117" s="109" t="str">
        <f t="shared" si="1"/>
        <v>kgCO2e/kWh</v>
      </c>
      <c r="G117" s="72" t="s">
        <v>1448</v>
      </c>
    </row>
    <row r="118" spans="2:7">
      <c r="B118" s="72" t="s">
        <v>207</v>
      </c>
      <c r="C118" s="72">
        <v>2018</v>
      </c>
      <c r="D118" s="72" t="s">
        <v>200</v>
      </c>
      <c r="E118" s="337">
        <v>555.08333330000005</v>
      </c>
      <c r="F118" s="109" t="str">
        <f t="shared" si="1"/>
        <v>kgCO2e/MWh</v>
      </c>
      <c r="G118" s="72" t="s">
        <v>1448</v>
      </c>
    </row>
    <row r="119" spans="2:7">
      <c r="B119" s="72" t="s">
        <v>207</v>
      </c>
      <c r="C119" s="72">
        <v>2018</v>
      </c>
      <c r="D119" s="72" t="s">
        <v>201</v>
      </c>
      <c r="E119" s="338">
        <f>555.0833333*D2</f>
        <v>555083.33330000006</v>
      </c>
      <c r="F119" s="109" t="str">
        <f t="shared" si="1"/>
        <v>kgCO2e/GWh</v>
      </c>
      <c r="G119" s="72" t="s">
        <v>1448</v>
      </c>
    </row>
    <row r="120" spans="2:7">
      <c r="B120" s="72" t="s">
        <v>207</v>
      </c>
      <c r="C120" s="72">
        <v>2018</v>
      </c>
      <c r="D120" s="72" t="s">
        <v>202</v>
      </c>
      <c r="E120" s="339">
        <f>555.0833333*D3</f>
        <v>0.55508333330000004</v>
      </c>
      <c r="F120" s="109" t="str">
        <f t="shared" si="1"/>
        <v>kgCO2e/kWh</v>
      </c>
      <c r="G120" s="72" t="s">
        <v>1448</v>
      </c>
    </row>
    <row r="121" spans="2:7">
      <c r="B121" s="72" t="s">
        <v>207</v>
      </c>
      <c r="C121" s="72">
        <v>2019</v>
      </c>
      <c r="D121" s="72" t="s">
        <v>200</v>
      </c>
      <c r="E121" s="337">
        <v>517.33333330000005</v>
      </c>
      <c r="F121" s="109" t="str">
        <f t="shared" si="1"/>
        <v>kgCO2e/MWh</v>
      </c>
      <c r="G121" s="72" t="s">
        <v>1448</v>
      </c>
    </row>
    <row r="122" spans="2:7">
      <c r="B122" s="72" t="s">
        <v>207</v>
      </c>
      <c r="C122" s="72">
        <v>2019</v>
      </c>
      <c r="D122" s="72" t="s">
        <v>201</v>
      </c>
      <c r="E122" s="338">
        <f>517.3333333*D2</f>
        <v>517333.33330000006</v>
      </c>
      <c r="F122" s="109" t="str">
        <f t="shared" si="1"/>
        <v>kgCO2e/GWh</v>
      </c>
      <c r="G122" s="72" t="s">
        <v>1448</v>
      </c>
    </row>
    <row r="123" spans="2:7">
      <c r="B123" s="72" t="s">
        <v>207</v>
      </c>
      <c r="C123" s="72">
        <v>2019</v>
      </c>
      <c r="D123" s="72" t="s">
        <v>202</v>
      </c>
      <c r="E123" s="339">
        <f>517.3333333*D3</f>
        <v>0.51733333330000009</v>
      </c>
      <c r="F123" s="109" t="str">
        <f t="shared" si="1"/>
        <v>kgCO2e/kWh</v>
      </c>
      <c r="G123" s="72" t="s">
        <v>1448</v>
      </c>
    </row>
    <row r="124" spans="2:7">
      <c r="B124" s="72" t="s">
        <v>207</v>
      </c>
      <c r="C124" s="72">
        <v>2020</v>
      </c>
      <c r="D124" s="72" t="s">
        <v>200</v>
      </c>
      <c r="E124" s="337">
        <v>478.16666670000001</v>
      </c>
      <c r="F124" s="109" t="str">
        <f t="shared" si="1"/>
        <v>kgCO2e/MWh</v>
      </c>
      <c r="G124" s="72" t="s">
        <v>1448</v>
      </c>
    </row>
    <row r="125" spans="2:7">
      <c r="B125" s="72" t="s">
        <v>207</v>
      </c>
      <c r="C125" s="72">
        <v>2020</v>
      </c>
      <c r="D125" s="72" t="s">
        <v>201</v>
      </c>
      <c r="E125" s="338">
        <f>478.1666667*D2</f>
        <v>478166.6667</v>
      </c>
      <c r="F125" s="109" t="str">
        <f t="shared" si="1"/>
        <v>kgCO2e/GWh</v>
      </c>
      <c r="G125" s="72" t="s">
        <v>1448</v>
      </c>
    </row>
    <row r="126" spans="2:7">
      <c r="B126" s="72" t="s">
        <v>207</v>
      </c>
      <c r="C126" s="72">
        <v>2020</v>
      </c>
      <c r="D126" s="72" t="s">
        <v>202</v>
      </c>
      <c r="E126" s="339">
        <f>478.1666667*D3</f>
        <v>0.47816666670000002</v>
      </c>
      <c r="F126" s="109" t="str">
        <f t="shared" si="1"/>
        <v>kgCO2e/kWh</v>
      </c>
      <c r="G126" s="72" t="s">
        <v>1448</v>
      </c>
    </row>
    <row r="127" spans="2:7">
      <c r="B127" s="72" t="s">
        <v>207</v>
      </c>
      <c r="C127" s="72">
        <v>2021</v>
      </c>
      <c r="D127" s="72" t="s">
        <v>200</v>
      </c>
      <c r="E127" s="337">
        <v>555.25</v>
      </c>
      <c r="F127" s="109" t="str">
        <f t="shared" si="1"/>
        <v>kgCO2e/MWh</v>
      </c>
      <c r="G127" s="72" t="s">
        <v>1448</v>
      </c>
    </row>
    <row r="128" spans="2:7">
      <c r="B128" s="72" t="s">
        <v>207</v>
      </c>
      <c r="C128" s="72">
        <v>2021</v>
      </c>
      <c r="D128" s="72" t="s">
        <v>201</v>
      </c>
      <c r="E128" s="338">
        <f>555.25*D2</f>
        <v>555250</v>
      </c>
      <c r="F128" s="109" t="str">
        <f t="shared" si="1"/>
        <v>kgCO2e/GWh</v>
      </c>
      <c r="G128" s="72" t="s">
        <v>1448</v>
      </c>
    </row>
    <row r="129" spans="2:7">
      <c r="B129" s="72" t="s">
        <v>207</v>
      </c>
      <c r="C129" s="72">
        <v>2021</v>
      </c>
      <c r="D129" s="72" t="s">
        <v>202</v>
      </c>
      <c r="E129" s="339">
        <f>555.25*D3</f>
        <v>0.55525000000000002</v>
      </c>
      <c r="F129" s="109" t="str">
        <f t="shared" si="1"/>
        <v>kgCO2e/kWh</v>
      </c>
      <c r="G129" s="72" t="s">
        <v>1448</v>
      </c>
    </row>
    <row r="130" spans="2:7">
      <c r="B130" s="72" t="s">
        <v>207</v>
      </c>
      <c r="C130" s="72">
        <v>2022</v>
      </c>
      <c r="D130" s="72" t="s">
        <v>200</v>
      </c>
      <c r="E130" s="337">
        <v>625.08333332999996</v>
      </c>
      <c r="F130" s="109" t="str">
        <f t="shared" si="1"/>
        <v>kgCO2e/MWh</v>
      </c>
      <c r="G130" s="72" t="s">
        <v>1448</v>
      </c>
    </row>
    <row r="131" spans="2:7">
      <c r="B131" s="72" t="s">
        <v>207</v>
      </c>
      <c r="C131" s="72">
        <v>2022</v>
      </c>
      <c r="D131" s="72" t="s">
        <v>201</v>
      </c>
      <c r="E131" s="338">
        <f>625.08333333*D2</f>
        <v>625083.33332999994</v>
      </c>
      <c r="F131" s="109" t="str">
        <f t="shared" si="1"/>
        <v>kgCO2e/GWh</v>
      </c>
      <c r="G131" s="72" t="s">
        <v>1448</v>
      </c>
    </row>
    <row r="132" spans="2:7">
      <c r="B132" s="72" t="s">
        <v>207</v>
      </c>
      <c r="C132" s="72">
        <v>2022</v>
      </c>
      <c r="D132" s="72" t="s">
        <v>202</v>
      </c>
      <c r="E132" s="339">
        <f>625.08333333*D3</f>
        <v>0.62508333332999999</v>
      </c>
      <c r="F132" s="109" t="str">
        <f t="shared" si="1"/>
        <v>kgCO2e/kWh</v>
      </c>
      <c r="G132" s="72" t="s">
        <v>1448</v>
      </c>
    </row>
    <row r="133" spans="2:7">
      <c r="B133" s="72" t="s">
        <v>207</v>
      </c>
      <c r="C133" s="72">
        <v>2023</v>
      </c>
      <c r="D133" s="72" t="s">
        <v>200</v>
      </c>
      <c r="E133" s="337">
        <v>624.16666667000004</v>
      </c>
      <c r="F133" s="109" t="str">
        <f t="shared" si="1"/>
        <v>kgCO2e/MWh</v>
      </c>
      <c r="G133" s="72" t="s">
        <v>1448</v>
      </c>
    </row>
    <row r="134" spans="2:7">
      <c r="B134" s="72" t="s">
        <v>207</v>
      </c>
      <c r="C134" s="72">
        <v>2023</v>
      </c>
      <c r="D134" s="72" t="s">
        <v>201</v>
      </c>
      <c r="E134" s="338">
        <f>624.16666667*D2</f>
        <v>624166.66667000006</v>
      </c>
      <c r="F134" s="109" t="str">
        <f t="shared" si="1"/>
        <v>kgCO2e/GWh</v>
      </c>
      <c r="G134" s="72" t="s">
        <v>1448</v>
      </c>
    </row>
    <row r="135" spans="2:7">
      <c r="B135" s="72" t="s">
        <v>207</v>
      </c>
      <c r="C135" s="72">
        <v>2023</v>
      </c>
      <c r="D135" s="72" t="s">
        <v>202</v>
      </c>
      <c r="E135" s="339">
        <f>624.16666667*D3</f>
        <v>0.62416666667000009</v>
      </c>
      <c r="F135" s="109" t="str">
        <f t="shared" si="1"/>
        <v>kgCO2e/kWh</v>
      </c>
      <c r="G135" s="72" t="s">
        <v>1448</v>
      </c>
    </row>
    <row r="136" spans="2:7">
      <c r="B136" s="72" t="s">
        <v>207</v>
      </c>
      <c r="C136" s="72">
        <v>2024</v>
      </c>
      <c r="D136" s="72" t="s">
        <v>200</v>
      </c>
      <c r="E136" s="340" t="s">
        <v>1449</v>
      </c>
      <c r="F136" s="109" t="str">
        <f t="shared" si="1"/>
        <v>kgCO2e/MWh</v>
      </c>
      <c r="G136" s="72" t="s">
        <v>1448</v>
      </c>
    </row>
    <row r="137" spans="2:7">
      <c r="B137" s="72" t="s">
        <v>207</v>
      </c>
      <c r="C137" s="72">
        <v>2024</v>
      </c>
      <c r="D137" s="72" t="s">
        <v>201</v>
      </c>
      <c r="E137" s="340" t="s">
        <v>1449</v>
      </c>
      <c r="F137" s="109" t="str">
        <f t="shared" si="1"/>
        <v>kgCO2e/GWh</v>
      </c>
      <c r="G137" s="72" t="s">
        <v>1448</v>
      </c>
    </row>
    <row r="138" spans="2:7">
      <c r="B138" s="72" t="s">
        <v>207</v>
      </c>
      <c r="C138" s="72">
        <v>2024</v>
      </c>
      <c r="D138" s="72" t="s">
        <v>202</v>
      </c>
      <c r="E138" s="340" t="s">
        <v>1449</v>
      </c>
      <c r="F138" s="109" t="str">
        <f t="shared" si="1"/>
        <v>kgCO2e/kWh</v>
      </c>
      <c r="G138" s="72" t="s">
        <v>1448</v>
      </c>
    </row>
  </sheetData>
  <sheetProtection algorithmName="SHA-512" hashValue="LMJLBq69UN9KTyzcvI+abmbH/x94E/Ss1XOx8ESB2c3KFqWzH7fjyBUATlqtAaPk65XYB1zc1+UcScxiA4AbcQ==" saltValue="8DzYMUXHC0FoX6rMUlm6NQ==" spinCount="100000" sheet="1" objects="1" scenarios="1" autoFilter="0"/>
  <autoFilter ref="B9:G138" xr:uid="{00000000-0001-0000-1900-000000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B1:G140"/>
  <sheetViews>
    <sheetView showGridLines="0" workbookViewId="0"/>
  </sheetViews>
  <sheetFormatPr baseColWidth="10" defaultColWidth="9.109375" defaultRowHeight="14.4"/>
  <cols>
    <col min="1" max="1" width="4" customWidth="1"/>
    <col min="2" max="2" width="44.88671875" customWidth="1"/>
    <col min="3" max="4" width="21" customWidth="1"/>
    <col min="5" max="5" width="51" style="468" customWidth="1"/>
    <col min="6" max="6" width="15.6640625" customWidth="1"/>
    <col min="7" max="7" width="137.109375" bestFit="1" customWidth="1"/>
  </cols>
  <sheetData>
    <row r="1" spans="2:7">
      <c r="C1" s="61" t="s">
        <v>1443</v>
      </c>
      <c r="D1" s="61" t="s">
        <v>344</v>
      </c>
      <c r="E1" s="465" t="s">
        <v>345</v>
      </c>
    </row>
    <row r="2" spans="2:7">
      <c r="C2" s="70" t="s">
        <v>1444</v>
      </c>
      <c r="D2" s="70">
        <v>1000</v>
      </c>
      <c r="E2" s="466" t="s">
        <v>200</v>
      </c>
    </row>
    <row r="3" spans="2:7">
      <c r="C3" s="70" t="s">
        <v>1445</v>
      </c>
      <c r="D3" s="70">
        <v>1E-3</v>
      </c>
      <c r="E3" s="467" t="s">
        <v>200</v>
      </c>
    </row>
    <row r="5" spans="2:7" ht="57.6">
      <c r="C5" s="341" t="s">
        <v>1450</v>
      </c>
      <c r="D5" s="364">
        <v>5.7000000000000002E-2</v>
      </c>
      <c r="E5" s="469" t="s">
        <v>1451</v>
      </c>
    </row>
    <row r="6" spans="2:7">
      <c r="C6" s="490"/>
      <c r="D6" s="491"/>
      <c r="E6" s="492"/>
    </row>
    <row r="7" spans="2:7">
      <c r="C7" s="490"/>
      <c r="D7" s="491"/>
      <c r="E7" s="492"/>
    </row>
    <row r="8" spans="2:7">
      <c r="B8" s="1" t="s">
        <v>358</v>
      </c>
    </row>
    <row r="9" spans="2:7">
      <c r="B9" s="1" t="s">
        <v>208</v>
      </c>
    </row>
    <row r="11" spans="2:7" ht="28.8">
      <c r="B11" s="71" t="s">
        <v>362</v>
      </c>
      <c r="C11" s="71" t="s">
        <v>691</v>
      </c>
      <c r="D11" s="71" t="s">
        <v>719</v>
      </c>
      <c r="E11" s="470" t="s">
        <v>1446</v>
      </c>
      <c r="F11" s="97" t="s">
        <v>345</v>
      </c>
      <c r="G11" s="97" t="s">
        <v>96</v>
      </c>
    </row>
    <row r="12" spans="2:7">
      <c r="B12" s="72" t="s">
        <v>199</v>
      </c>
      <c r="C12" s="72">
        <v>2015</v>
      </c>
      <c r="D12" s="72" t="s">
        <v>200</v>
      </c>
      <c r="E12" s="493" cm="1">
        <f t="array" ref="E12">IFERROR(_xlfn.XLOOKUP(B12&amp;C12&amp;D12,'2.1 Electricidad'!B:B&amp;'2.1 Electricidad'!C:C&amp;'2.1 Electricidad'!D:D,'2.1 Electricidad'!E:E,"No")*$D$5,"PENDIENTE")</f>
        <v>43.570799999999998</v>
      </c>
      <c r="F12" s="109" t="str">
        <f>"kgCO2e/"&amp;D12</f>
        <v>kgCO2e/MWh</v>
      </c>
      <c r="G12" s="402" t="s">
        <v>1452</v>
      </c>
    </row>
    <row r="13" spans="2:7">
      <c r="B13" s="72" t="s">
        <v>199</v>
      </c>
      <c r="C13" s="72">
        <v>2015</v>
      </c>
      <c r="D13" s="72" t="s">
        <v>201</v>
      </c>
      <c r="E13" s="342" cm="1">
        <f t="array" ref="E13">IFERROR(_xlfn.XLOOKUP(B13&amp;C13&amp;D13,'2.1 Electricidad'!B:B&amp;'2.1 Electricidad'!C:C&amp;'2.1 Electricidad'!D:D,'2.1 Electricidad'!E:E,"No")*$D$5,"PENDIENTE")</f>
        <v>43570.8</v>
      </c>
      <c r="F13" s="109" t="str">
        <f t="shared" ref="F13:F76" si="0">"kgCO2e/"&amp;D13</f>
        <v>kgCO2e/GWh</v>
      </c>
      <c r="G13" s="402" t="s">
        <v>1452</v>
      </c>
    </row>
    <row r="14" spans="2:7">
      <c r="B14" s="72" t="s">
        <v>199</v>
      </c>
      <c r="C14" s="72">
        <v>2015</v>
      </c>
      <c r="D14" s="72" t="s">
        <v>202</v>
      </c>
      <c r="E14" s="342" cm="1">
        <f t="array" ref="E14">IFERROR(_xlfn.XLOOKUP(B14&amp;C14&amp;D14,'2.1 Electricidad'!B:B&amp;'2.1 Electricidad'!C:C&amp;'2.1 Electricidad'!D:D,'2.1 Electricidad'!E:E,"No")*$D$5,"PENDIENTE")</f>
        <v>4.35708E-2</v>
      </c>
      <c r="F14" s="109" t="str">
        <f t="shared" si="0"/>
        <v>kgCO2e/kWh</v>
      </c>
      <c r="G14" s="402" t="s">
        <v>1452</v>
      </c>
    </row>
    <row r="15" spans="2:7">
      <c r="B15" s="72" t="s">
        <v>199</v>
      </c>
      <c r="C15" s="72">
        <v>2016</v>
      </c>
      <c r="D15" s="72" t="s">
        <v>200</v>
      </c>
      <c r="E15" s="471" cm="1">
        <f t="array" ref="E15">IFERROR(_xlfn.XLOOKUP(B15&amp;C15&amp;D15,'2.1 Electricidad'!B:B&amp;'2.1 Electricidad'!C:C&amp;'2.1 Electricidad'!D:D,'2.1 Electricidad'!E:E,"No")*$D$5,"PENDIENTE")</f>
        <v>43.701900000000002</v>
      </c>
      <c r="F15" s="109" t="str">
        <f t="shared" si="0"/>
        <v>kgCO2e/MWh</v>
      </c>
      <c r="G15" s="402" t="s">
        <v>1452</v>
      </c>
    </row>
    <row r="16" spans="2:7">
      <c r="B16" s="72" t="s">
        <v>199</v>
      </c>
      <c r="C16" s="72">
        <v>2016</v>
      </c>
      <c r="D16" s="72" t="s">
        <v>201</v>
      </c>
      <c r="E16" s="342" cm="1">
        <f t="array" ref="E16">IFERROR(_xlfn.XLOOKUP(B16&amp;C16&amp;D16,'2.1 Electricidad'!B:B&amp;'2.1 Electricidad'!C:C&amp;'2.1 Electricidad'!D:D,'2.1 Electricidad'!E:E,"No")*$D$5,"PENDIENTE")</f>
        <v>43701.9</v>
      </c>
      <c r="F16" s="109" t="str">
        <f t="shared" si="0"/>
        <v>kgCO2e/GWh</v>
      </c>
      <c r="G16" s="402" t="s">
        <v>1452</v>
      </c>
    </row>
    <row r="17" spans="2:7">
      <c r="B17" s="72" t="s">
        <v>199</v>
      </c>
      <c r="C17" s="72">
        <v>2016</v>
      </c>
      <c r="D17" s="72" t="s">
        <v>202</v>
      </c>
      <c r="E17" s="342" cm="1">
        <f t="array" ref="E17">IFERROR(_xlfn.XLOOKUP(B17&amp;C17&amp;D17,'2.1 Electricidad'!B:B&amp;'2.1 Electricidad'!C:C&amp;'2.1 Electricidad'!D:D,'2.1 Electricidad'!E:E,"No")*$D$5,"PENDIENTE")</f>
        <v>4.3701900000000002E-2</v>
      </c>
      <c r="F17" s="109" t="str">
        <f t="shared" si="0"/>
        <v>kgCO2e/kWh</v>
      </c>
      <c r="G17" s="402" t="s">
        <v>1452</v>
      </c>
    </row>
    <row r="18" spans="2:7">
      <c r="B18" s="72" t="s">
        <v>199</v>
      </c>
      <c r="C18" s="72">
        <v>2017</v>
      </c>
      <c r="D18" s="72" t="s">
        <v>200</v>
      </c>
      <c r="E18" s="471" cm="1">
        <f t="array" ref="E18">IFERROR(_xlfn.XLOOKUP(B18&amp;C18&amp;D18,'2.1 Electricidad'!B:B&amp;'2.1 Electricidad'!C:C&amp;'2.1 Electricidad'!D:D,'2.1 Electricidad'!E:E,"No")*$D$5,"PENDIENTE")</f>
        <v>44.061</v>
      </c>
      <c r="F18" s="109" t="str">
        <f t="shared" si="0"/>
        <v>kgCO2e/MWh</v>
      </c>
      <c r="G18" s="402" t="s">
        <v>1452</v>
      </c>
    </row>
    <row r="19" spans="2:7">
      <c r="B19" s="72" t="s">
        <v>199</v>
      </c>
      <c r="C19" s="72">
        <v>2017</v>
      </c>
      <c r="D19" s="72" t="s">
        <v>201</v>
      </c>
      <c r="E19" s="342" cm="1">
        <f t="array" ref="E19">IFERROR(_xlfn.XLOOKUP(B19&amp;C19&amp;D19,'2.1 Electricidad'!B:B&amp;'2.1 Electricidad'!C:C&amp;'2.1 Electricidad'!D:D,'2.1 Electricidad'!E:E,"No")*$D$5,"PENDIENTE")</f>
        <v>44061</v>
      </c>
      <c r="F19" s="109" t="str">
        <f t="shared" si="0"/>
        <v>kgCO2e/GWh</v>
      </c>
      <c r="G19" s="402" t="s">
        <v>1452</v>
      </c>
    </row>
    <row r="20" spans="2:7">
      <c r="B20" s="72" t="s">
        <v>199</v>
      </c>
      <c r="C20" s="72">
        <v>2017</v>
      </c>
      <c r="D20" s="72" t="s">
        <v>202</v>
      </c>
      <c r="E20" s="342" cm="1">
        <f t="array" ref="E20">IFERROR(_xlfn.XLOOKUP(B20&amp;C20&amp;D20,'2.1 Electricidad'!B:B&amp;'2.1 Electricidad'!C:C&amp;'2.1 Electricidad'!D:D,'2.1 Electricidad'!E:E,"No")*$D$5,"PENDIENTE")</f>
        <v>4.4061000000000003E-2</v>
      </c>
      <c r="F20" s="109" t="str">
        <f t="shared" si="0"/>
        <v>kgCO2e/kWh</v>
      </c>
      <c r="G20" s="402" t="s">
        <v>1452</v>
      </c>
    </row>
    <row r="21" spans="2:7">
      <c r="B21" s="72" t="s">
        <v>203</v>
      </c>
      <c r="C21" s="72">
        <v>2015</v>
      </c>
      <c r="D21" s="72" t="s">
        <v>200</v>
      </c>
      <c r="E21" s="471" cm="1">
        <f t="array" ref="E21">IFERROR(_xlfn.XLOOKUP(B21&amp;C21&amp;D21,'2.1 Electricidad'!B:B&amp;'2.1 Electricidad'!C:C&amp;'2.1 Electricidad'!D:D,'2.1 Electricidad'!E:E,"No")*$D$5,"PENDIENTE")</f>
        <v>19.7163</v>
      </c>
      <c r="F21" s="109" t="str">
        <f t="shared" si="0"/>
        <v>kgCO2e/MWh</v>
      </c>
      <c r="G21" s="402" t="s">
        <v>1452</v>
      </c>
    </row>
    <row r="22" spans="2:7">
      <c r="B22" s="72" t="s">
        <v>203</v>
      </c>
      <c r="C22" s="72">
        <v>2015</v>
      </c>
      <c r="D22" s="72" t="s">
        <v>201</v>
      </c>
      <c r="E22" s="342" cm="1">
        <f t="array" ref="E22">IFERROR(_xlfn.XLOOKUP(B22&amp;C22&amp;D22,'2.1 Electricidad'!B:B&amp;'2.1 Electricidad'!C:C&amp;'2.1 Electricidad'!D:D,'2.1 Electricidad'!E:E,"No")*$D$5,"PENDIENTE")</f>
        <v>19716.3</v>
      </c>
      <c r="F22" s="109" t="str">
        <f t="shared" si="0"/>
        <v>kgCO2e/GWh</v>
      </c>
      <c r="G22" s="402" t="s">
        <v>1452</v>
      </c>
    </row>
    <row r="23" spans="2:7">
      <c r="B23" s="72" t="s">
        <v>203</v>
      </c>
      <c r="C23" s="72">
        <v>2015</v>
      </c>
      <c r="D23" s="72" t="s">
        <v>202</v>
      </c>
      <c r="E23" s="342" cm="1">
        <f t="array" ref="E23">IFERROR(_xlfn.XLOOKUP(B23&amp;C23&amp;D23,'2.1 Electricidad'!B:B&amp;'2.1 Electricidad'!C:C&amp;'2.1 Electricidad'!D:D,'2.1 Electricidad'!E:E,"No")*$D$5,"PENDIENTE")</f>
        <v>1.9716299999999999E-2</v>
      </c>
      <c r="F23" s="109" t="str">
        <f t="shared" si="0"/>
        <v>kgCO2e/kWh</v>
      </c>
      <c r="G23" s="402" t="s">
        <v>1452</v>
      </c>
    </row>
    <row r="24" spans="2:7">
      <c r="B24" s="72" t="s">
        <v>203</v>
      </c>
      <c r="C24" s="72">
        <v>2016</v>
      </c>
      <c r="D24" s="72" t="s">
        <v>200</v>
      </c>
      <c r="E24" s="471" cm="1">
        <f t="array" ref="E24">IFERROR(_xlfn.XLOOKUP(B24&amp;C24&amp;D24,'2.1 Electricidad'!B:B&amp;'2.1 Electricidad'!C:C&amp;'2.1 Electricidad'!D:D,'2.1 Electricidad'!E:E,"No")*$D$5,"PENDIENTE")</f>
        <v>22.629000000000001</v>
      </c>
      <c r="F24" s="109" t="str">
        <f t="shared" si="0"/>
        <v>kgCO2e/MWh</v>
      </c>
      <c r="G24" s="402" t="s">
        <v>1452</v>
      </c>
    </row>
    <row r="25" spans="2:7">
      <c r="B25" s="72" t="s">
        <v>203</v>
      </c>
      <c r="C25" s="72">
        <v>2016</v>
      </c>
      <c r="D25" s="72" t="s">
        <v>201</v>
      </c>
      <c r="E25" s="342" cm="1">
        <f t="array" ref="E25">IFERROR(_xlfn.XLOOKUP(B25&amp;C25&amp;D25,'2.1 Electricidad'!B:B&amp;'2.1 Electricidad'!C:C&amp;'2.1 Electricidad'!D:D,'2.1 Electricidad'!E:E,"No")*$D$5,"PENDIENTE")</f>
        <v>22629</v>
      </c>
      <c r="F25" s="109" t="str">
        <f t="shared" si="0"/>
        <v>kgCO2e/GWh</v>
      </c>
      <c r="G25" s="402" t="s">
        <v>1452</v>
      </c>
    </row>
    <row r="26" spans="2:7">
      <c r="B26" s="72" t="s">
        <v>203</v>
      </c>
      <c r="C26" s="72">
        <v>2016</v>
      </c>
      <c r="D26" s="72" t="s">
        <v>202</v>
      </c>
      <c r="E26" s="342" cm="1">
        <f t="array" ref="E26">IFERROR(_xlfn.XLOOKUP(B26&amp;C26&amp;D26,'2.1 Electricidad'!B:B&amp;'2.1 Electricidad'!C:C&amp;'2.1 Electricidad'!D:D,'2.1 Electricidad'!E:E,"No")*$D$5,"PENDIENTE")</f>
        <v>2.2629000000000003E-2</v>
      </c>
      <c r="F26" s="109" t="str">
        <f t="shared" si="0"/>
        <v>kgCO2e/kWh</v>
      </c>
      <c r="G26" s="402" t="s">
        <v>1452</v>
      </c>
    </row>
    <row r="27" spans="2:7">
      <c r="B27" s="72" t="s">
        <v>203</v>
      </c>
      <c r="C27" s="72">
        <v>2017</v>
      </c>
      <c r="D27" s="72" t="s">
        <v>200</v>
      </c>
      <c r="E27" s="471" cm="1">
        <f t="array" ref="E27">IFERROR(_xlfn.XLOOKUP(B27&amp;C27&amp;D27,'2.1 Electricidad'!B:B&amp;'2.1 Electricidad'!C:C&amp;'2.1 Electricidad'!D:D,'2.1 Electricidad'!E:E,"No")*$D$5,"PENDIENTE")</f>
        <v>19.174799999999998</v>
      </c>
      <c r="F27" s="109" t="str">
        <f t="shared" si="0"/>
        <v>kgCO2e/MWh</v>
      </c>
      <c r="G27" s="402" t="s">
        <v>1452</v>
      </c>
    </row>
    <row r="28" spans="2:7">
      <c r="B28" s="72" t="s">
        <v>203</v>
      </c>
      <c r="C28" s="72">
        <v>2017</v>
      </c>
      <c r="D28" s="72" t="s">
        <v>201</v>
      </c>
      <c r="E28" s="342" cm="1">
        <f t="array" ref="E28">IFERROR(_xlfn.XLOOKUP(B28&amp;C28&amp;D28,'2.1 Electricidad'!B:B&amp;'2.1 Electricidad'!C:C&amp;'2.1 Electricidad'!D:D,'2.1 Electricidad'!E:E,"No")*$D$5,"PENDIENTE")</f>
        <v>19174.8</v>
      </c>
      <c r="F28" s="109" t="str">
        <f t="shared" si="0"/>
        <v>kgCO2e/GWh</v>
      </c>
      <c r="G28" s="402" t="s">
        <v>1452</v>
      </c>
    </row>
    <row r="29" spans="2:7">
      <c r="B29" s="72" t="s">
        <v>203</v>
      </c>
      <c r="C29" s="72">
        <v>2017</v>
      </c>
      <c r="D29" s="72" t="s">
        <v>202</v>
      </c>
      <c r="E29" s="342" cm="1">
        <f t="array" ref="E29">IFERROR(_xlfn.XLOOKUP(B29&amp;C29&amp;D29,'2.1 Electricidad'!B:B&amp;'2.1 Electricidad'!C:C&amp;'2.1 Electricidad'!D:D,'2.1 Electricidad'!E:E,"No")*$D$5,"PENDIENTE")</f>
        <v>1.9174799999999999E-2</v>
      </c>
      <c r="F29" s="109" t="str">
        <f t="shared" si="0"/>
        <v>kgCO2e/kWh</v>
      </c>
      <c r="G29" s="402" t="s">
        <v>1452</v>
      </c>
    </row>
    <row r="30" spans="2:7">
      <c r="B30" s="402" t="s">
        <v>204</v>
      </c>
      <c r="C30" s="72">
        <v>2018</v>
      </c>
      <c r="D30" s="72" t="s">
        <v>200</v>
      </c>
      <c r="E30" s="471" cm="1">
        <f t="array" ref="E30">IFERROR(_xlfn.XLOOKUP(B30&amp;C30&amp;D30,'2.1 Electricidad'!B:B&amp;'2.1 Electricidad'!C:C&amp;'2.1 Electricidad'!D:D,'2.1 Electricidad'!E:E,"No")*$D$5,"PENDIENTE")</f>
        <v>23.8659</v>
      </c>
      <c r="F30" s="109" t="str">
        <f t="shared" si="0"/>
        <v>kgCO2e/MWh</v>
      </c>
      <c r="G30" s="402" t="s">
        <v>1452</v>
      </c>
    </row>
    <row r="31" spans="2:7">
      <c r="B31" s="402" t="s">
        <v>204</v>
      </c>
      <c r="C31" s="72">
        <v>2018</v>
      </c>
      <c r="D31" s="72" t="s">
        <v>201</v>
      </c>
      <c r="E31" s="342" cm="1">
        <f t="array" ref="E31">IFERROR(_xlfn.XLOOKUP(B31&amp;C31&amp;D31,'2.1 Electricidad'!B:B&amp;'2.1 Electricidad'!C:C&amp;'2.1 Electricidad'!D:D,'2.1 Electricidad'!E:E,"No")*$D$5,"PENDIENTE")</f>
        <v>23865.9</v>
      </c>
      <c r="F31" s="109" t="str">
        <f t="shared" si="0"/>
        <v>kgCO2e/GWh</v>
      </c>
      <c r="G31" s="402" t="s">
        <v>1452</v>
      </c>
    </row>
    <row r="32" spans="2:7">
      <c r="B32" s="402" t="s">
        <v>204</v>
      </c>
      <c r="C32" s="72">
        <v>2018</v>
      </c>
      <c r="D32" s="72" t="s">
        <v>202</v>
      </c>
      <c r="E32" s="342" cm="1">
        <f t="array" ref="E32">IFERROR(_xlfn.XLOOKUP(B32&amp;C32&amp;D32,'2.1 Electricidad'!B:B&amp;'2.1 Electricidad'!C:C&amp;'2.1 Electricidad'!D:D,'2.1 Electricidad'!E:E,"No")*$D$5,"PENDIENTE")</f>
        <v>2.3865900000000002E-2</v>
      </c>
      <c r="F32" s="109" t="str">
        <f t="shared" si="0"/>
        <v>kgCO2e/kWh</v>
      </c>
      <c r="G32" s="402" t="s">
        <v>1452</v>
      </c>
    </row>
    <row r="33" spans="2:7">
      <c r="B33" s="402" t="s">
        <v>204</v>
      </c>
      <c r="C33" s="72">
        <v>2019</v>
      </c>
      <c r="D33" s="72" t="s">
        <v>200</v>
      </c>
      <c r="E33" s="471" cm="1">
        <f t="array" ref="E33">IFERROR(_xlfn.XLOOKUP(B33&amp;C33&amp;D33,'2.1 Electricidad'!B:B&amp;'2.1 Electricidad'!C:C&amp;'2.1 Electricidad'!D:D,'2.1 Electricidad'!E:E,"No")*$D$5,"PENDIENTE")</f>
        <v>23.119200000000003</v>
      </c>
      <c r="F33" s="109" t="str">
        <f t="shared" si="0"/>
        <v>kgCO2e/MWh</v>
      </c>
      <c r="G33" s="402" t="s">
        <v>1452</v>
      </c>
    </row>
    <row r="34" spans="2:7">
      <c r="B34" s="402" t="s">
        <v>204</v>
      </c>
      <c r="C34" s="72">
        <v>2019</v>
      </c>
      <c r="D34" s="72" t="s">
        <v>201</v>
      </c>
      <c r="E34" s="342" cm="1">
        <f t="array" ref="E34">IFERROR(_xlfn.XLOOKUP(B34&amp;C34&amp;D34,'2.1 Electricidad'!B:B&amp;'2.1 Electricidad'!C:C&amp;'2.1 Electricidad'!D:D,'2.1 Electricidad'!E:E,"No")*$D$5,"PENDIENTE")</f>
        <v>23119.200000000001</v>
      </c>
      <c r="F34" s="109" t="str">
        <f t="shared" si="0"/>
        <v>kgCO2e/GWh</v>
      </c>
      <c r="G34" s="402" t="s">
        <v>1452</v>
      </c>
    </row>
    <row r="35" spans="2:7">
      <c r="B35" s="402" t="s">
        <v>204</v>
      </c>
      <c r="C35" s="72">
        <v>2019</v>
      </c>
      <c r="D35" s="72" t="s">
        <v>202</v>
      </c>
      <c r="E35" s="342" cm="1">
        <f t="array" ref="E35">IFERROR(_xlfn.XLOOKUP(B35&amp;C35&amp;D35,'2.1 Electricidad'!B:B&amp;'2.1 Electricidad'!C:C&amp;'2.1 Electricidad'!D:D,'2.1 Electricidad'!E:E,"No")*$D$5,"PENDIENTE")</f>
        <v>2.3119200000000003E-2</v>
      </c>
      <c r="F35" s="109" t="str">
        <f t="shared" si="0"/>
        <v>kgCO2e/kWh</v>
      </c>
      <c r="G35" s="402" t="s">
        <v>1452</v>
      </c>
    </row>
    <row r="36" spans="2:7">
      <c r="B36" s="402" t="s">
        <v>204</v>
      </c>
      <c r="C36" s="72">
        <v>2020</v>
      </c>
      <c r="D36" s="72" t="s">
        <v>200</v>
      </c>
      <c r="E36" s="471" cm="1">
        <f t="array" ref="E36">IFERROR(_xlfn.XLOOKUP(B36&amp;C36&amp;D36,'2.1 Electricidad'!B:B&amp;'2.1 Electricidad'!C:C&amp;'2.1 Electricidad'!D:D,'2.1 Electricidad'!E:E,"No")*$D$5,"PENDIENTE")</f>
        <v>21.8538</v>
      </c>
      <c r="F36" s="109" t="str">
        <f t="shared" si="0"/>
        <v>kgCO2e/MWh</v>
      </c>
      <c r="G36" s="402" t="s">
        <v>1452</v>
      </c>
    </row>
    <row r="37" spans="2:7">
      <c r="B37" s="402" t="s">
        <v>204</v>
      </c>
      <c r="C37" s="72">
        <v>2020</v>
      </c>
      <c r="D37" s="72" t="s">
        <v>201</v>
      </c>
      <c r="E37" s="342" cm="1">
        <f t="array" ref="E37">IFERROR(_xlfn.XLOOKUP(B37&amp;C37&amp;D37,'2.1 Electricidad'!B:B&amp;'2.1 Electricidad'!C:C&amp;'2.1 Electricidad'!D:D,'2.1 Electricidad'!E:E,"No")*$D$5,"PENDIENTE")</f>
        <v>21853.8</v>
      </c>
      <c r="F37" s="109" t="str">
        <f t="shared" si="0"/>
        <v>kgCO2e/GWh</v>
      </c>
      <c r="G37" s="402" t="s">
        <v>1452</v>
      </c>
    </row>
    <row r="38" spans="2:7">
      <c r="B38" s="402" t="s">
        <v>204</v>
      </c>
      <c r="C38" s="72">
        <v>2020</v>
      </c>
      <c r="D38" s="72" t="s">
        <v>202</v>
      </c>
      <c r="E38" s="342" cm="1">
        <f t="array" ref="E38">IFERROR(_xlfn.XLOOKUP(B38&amp;C38&amp;D38,'2.1 Electricidad'!B:B&amp;'2.1 Electricidad'!C:C&amp;'2.1 Electricidad'!D:D,'2.1 Electricidad'!E:E,"No")*$D$5,"PENDIENTE")</f>
        <v>2.18538E-2</v>
      </c>
      <c r="F38" s="109" t="str">
        <f t="shared" si="0"/>
        <v>kgCO2e/kWh</v>
      </c>
      <c r="G38" s="402" t="s">
        <v>1452</v>
      </c>
    </row>
    <row r="39" spans="2:7">
      <c r="B39" s="402" t="s">
        <v>204</v>
      </c>
      <c r="C39" s="72">
        <v>2021</v>
      </c>
      <c r="D39" s="72" t="s">
        <v>200</v>
      </c>
      <c r="E39" s="471" cm="1">
        <f t="array" ref="E39">IFERROR(_xlfn.XLOOKUP(B39&amp;C39&amp;D39,'2.1 Electricidad'!B:B&amp;'2.1 Electricidad'!C:C&amp;'2.1 Electricidad'!D:D,'2.1 Electricidad'!E:E,"No")*$D$5,"PENDIENTE")</f>
        <v>22.2699</v>
      </c>
      <c r="F39" s="109" t="str">
        <f t="shared" si="0"/>
        <v>kgCO2e/MWh</v>
      </c>
      <c r="G39" s="402" t="s">
        <v>1452</v>
      </c>
    </row>
    <row r="40" spans="2:7">
      <c r="B40" s="402" t="s">
        <v>204</v>
      </c>
      <c r="C40" s="72">
        <v>2021</v>
      </c>
      <c r="D40" s="72" t="s">
        <v>201</v>
      </c>
      <c r="E40" s="342" cm="1">
        <f t="array" ref="E40">IFERROR(_xlfn.XLOOKUP(B40&amp;C40&amp;D40,'2.1 Electricidad'!B:B&amp;'2.1 Electricidad'!C:C&amp;'2.1 Electricidad'!D:D,'2.1 Electricidad'!E:E,"No")*$D$5,"PENDIENTE")</f>
        <v>22269.9</v>
      </c>
      <c r="F40" s="109" t="str">
        <f t="shared" si="0"/>
        <v>kgCO2e/GWh</v>
      </c>
      <c r="G40" s="402" t="s">
        <v>1452</v>
      </c>
    </row>
    <row r="41" spans="2:7">
      <c r="B41" s="402" t="s">
        <v>204</v>
      </c>
      <c r="C41" s="72">
        <v>2021</v>
      </c>
      <c r="D41" s="72" t="s">
        <v>202</v>
      </c>
      <c r="E41" s="342" cm="1">
        <f t="array" ref="E41">IFERROR(_xlfn.XLOOKUP(B41&amp;C41&amp;D41,'2.1 Electricidad'!B:B&amp;'2.1 Electricidad'!C:C&amp;'2.1 Electricidad'!D:D,'2.1 Electricidad'!E:E,"No")*$D$5,"PENDIENTE")</f>
        <v>2.2269899999999999E-2</v>
      </c>
      <c r="F41" s="109" t="str">
        <f t="shared" si="0"/>
        <v>kgCO2e/kWh</v>
      </c>
      <c r="G41" s="402" t="s">
        <v>1452</v>
      </c>
    </row>
    <row r="42" spans="2:7">
      <c r="B42" s="402" t="s">
        <v>204</v>
      </c>
      <c r="C42" s="72">
        <v>2022</v>
      </c>
      <c r="D42" s="72" t="s">
        <v>200</v>
      </c>
      <c r="E42" s="471" cm="1">
        <f t="array" ref="E42">IFERROR(_xlfn.XLOOKUP(B42&amp;C42&amp;D42,'2.1 Electricidad'!B:B&amp;'2.1 Electricidad'!C:C&amp;'2.1 Electricidad'!D:D,'2.1 Electricidad'!E:E,"No")*$D$5,"PENDIENTE")</f>
        <v>17.134200000000003</v>
      </c>
      <c r="F42" s="109" t="str">
        <f t="shared" si="0"/>
        <v>kgCO2e/MWh</v>
      </c>
      <c r="G42" s="402" t="s">
        <v>1452</v>
      </c>
    </row>
    <row r="43" spans="2:7">
      <c r="B43" s="402" t="s">
        <v>204</v>
      </c>
      <c r="C43" s="72">
        <v>2022</v>
      </c>
      <c r="D43" s="72" t="s">
        <v>201</v>
      </c>
      <c r="E43" s="342" cm="1">
        <f t="array" ref="E43">IFERROR(_xlfn.XLOOKUP(B43&amp;C43&amp;D43,'2.1 Electricidad'!B:B&amp;'2.1 Electricidad'!C:C&amp;'2.1 Electricidad'!D:D,'2.1 Electricidad'!E:E,"No")*$D$5,"PENDIENTE")</f>
        <v>17134.2</v>
      </c>
      <c r="F43" s="109" t="str">
        <f t="shared" si="0"/>
        <v>kgCO2e/GWh</v>
      </c>
      <c r="G43" s="402" t="s">
        <v>1452</v>
      </c>
    </row>
    <row r="44" spans="2:7">
      <c r="B44" s="402" t="s">
        <v>204</v>
      </c>
      <c r="C44" s="72">
        <v>2022</v>
      </c>
      <c r="D44" s="72" t="s">
        <v>202</v>
      </c>
      <c r="E44" s="342" cm="1">
        <f t="array" ref="E44">IFERROR(_xlfn.XLOOKUP(B44&amp;C44&amp;D44,'2.1 Electricidad'!B:B&amp;'2.1 Electricidad'!C:C&amp;'2.1 Electricidad'!D:D,'2.1 Electricidad'!E:E,"No")*$D$5,"PENDIENTE")</f>
        <v>1.7134200000000002E-2</v>
      </c>
      <c r="F44" s="109" t="str">
        <f t="shared" si="0"/>
        <v>kgCO2e/kWh</v>
      </c>
      <c r="G44" s="402" t="s">
        <v>1452</v>
      </c>
    </row>
    <row r="45" spans="2:7">
      <c r="B45" s="402" t="s">
        <v>204</v>
      </c>
      <c r="C45" s="72">
        <v>2023</v>
      </c>
      <c r="D45" s="72" t="s">
        <v>200</v>
      </c>
      <c r="E45" s="471" cm="1">
        <f t="array" ref="E45">IFERROR(_xlfn.XLOOKUP(B45&amp;C45&amp;D45,'2.1 Electricidad'!B:B&amp;'2.1 Electricidad'!C:C&amp;'2.1 Electricidad'!D:D,'2.1 Electricidad'!E:E,"No")*$D$5,"PENDIENTE")</f>
        <v>13.7997</v>
      </c>
      <c r="F45" s="109" t="str">
        <f t="shared" si="0"/>
        <v>kgCO2e/MWh</v>
      </c>
      <c r="G45" s="402" t="s">
        <v>1452</v>
      </c>
    </row>
    <row r="46" spans="2:7">
      <c r="B46" s="402" t="s">
        <v>204</v>
      </c>
      <c r="C46" s="72">
        <v>2023</v>
      </c>
      <c r="D46" s="72" t="s">
        <v>201</v>
      </c>
      <c r="E46" s="342" cm="1">
        <f t="array" ref="E46">IFERROR(_xlfn.XLOOKUP(B46&amp;C46&amp;D46,'2.1 Electricidad'!B:B&amp;'2.1 Electricidad'!C:C&amp;'2.1 Electricidad'!D:D,'2.1 Electricidad'!E:E,"No")*$D$5,"PENDIENTE")</f>
        <v>13799.7</v>
      </c>
      <c r="F46" s="109" t="str">
        <f t="shared" si="0"/>
        <v>kgCO2e/GWh</v>
      </c>
      <c r="G46" s="402" t="s">
        <v>1452</v>
      </c>
    </row>
    <row r="47" spans="2:7">
      <c r="B47" s="402" t="s">
        <v>204</v>
      </c>
      <c r="C47" s="72">
        <v>2023</v>
      </c>
      <c r="D47" s="72" t="s">
        <v>202</v>
      </c>
      <c r="E47" s="342" cm="1">
        <f t="array" ref="E47">IFERROR(_xlfn.XLOOKUP(B47&amp;C47&amp;D47,'2.1 Electricidad'!B:B&amp;'2.1 Electricidad'!C:C&amp;'2.1 Electricidad'!D:D,'2.1 Electricidad'!E:E,"No")*$D$5,"PENDIENTE")</f>
        <v>1.3799700000000002E-2</v>
      </c>
      <c r="F47" s="109" t="str">
        <f t="shared" si="0"/>
        <v>kgCO2e/kWh</v>
      </c>
      <c r="G47" s="402" t="s">
        <v>1452</v>
      </c>
    </row>
    <row r="48" spans="2:7">
      <c r="B48" s="402" t="s">
        <v>204</v>
      </c>
      <c r="C48" s="72">
        <v>2024</v>
      </c>
      <c r="D48" s="72" t="s">
        <v>200</v>
      </c>
      <c r="E48" s="471" cm="1">
        <f t="array" ref="E48">IFERROR(_xlfn.XLOOKUP(B48&amp;C48&amp;D48,'2.1 Electricidad'!B:B&amp;'2.1 Electricidad'!C:C&amp;'2.1 Electricidad'!D:D,'2.1 Electricidad'!E:E,"No")*$D$5,"PENDIENTE")</f>
        <v>11.5197</v>
      </c>
      <c r="F48" s="109" t="str">
        <f t="shared" si="0"/>
        <v>kgCO2e/MWh</v>
      </c>
      <c r="G48" s="402" t="s">
        <v>1452</v>
      </c>
    </row>
    <row r="49" spans="2:7">
      <c r="B49" s="402" t="s">
        <v>204</v>
      </c>
      <c r="C49" s="72">
        <v>2024</v>
      </c>
      <c r="D49" s="72" t="s">
        <v>201</v>
      </c>
      <c r="E49" s="342" cm="1">
        <f t="array" ref="E49">IFERROR(_xlfn.XLOOKUP(B49&amp;C49&amp;D49,'2.1 Electricidad'!B:B&amp;'2.1 Electricidad'!C:C&amp;'2.1 Electricidad'!D:D,'2.1 Electricidad'!E:E,"No")*$D$5,"PENDIENTE")</f>
        <v>11519.7</v>
      </c>
      <c r="F49" s="109" t="str">
        <f t="shared" si="0"/>
        <v>kgCO2e/GWh</v>
      </c>
      <c r="G49" s="402" t="s">
        <v>1452</v>
      </c>
    </row>
    <row r="50" spans="2:7">
      <c r="B50" s="402" t="s">
        <v>204</v>
      </c>
      <c r="C50" s="72">
        <v>2024</v>
      </c>
      <c r="D50" s="72" t="s">
        <v>202</v>
      </c>
      <c r="E50" s="342" cm="1">
        <f t="array" ref="E50">IFERROR(_xlfn.XLOOKUP(B50&amp;C50&amp;D50,'2.1 Electricidad'!B:B&amp;'2.1 Electricidad'!C:C&amp;'2.1 Electricidad'!D:D,'2.1 Electricidad'!E:E,"No")*$D$5,"PENDIENTE")</f>
        <v>1.1519700000000001E-2</v>
      </c>
      <c r="F50" s="109" t="str">
        <f t="shared" si="0"/>
        <v>kgCO2e/kWh</v>
      </c>
      <c r="G50" s="402" t="s">
        <v>1452</v>
      </c>
    </row>
    <row r="51" spans="2:7">
      <c r="B51" s="72" t="s">
        <v>205</v>
      </c>
      <c r="C51" s="72">
        <v>2015</v>
      </c>
      <c r="D51" s="72" t="s">
        <v>200</v>
      </c>
      <c r="E51" s="471" cm="1">
        <f t="array" ref="E51">IFERROR(_xlfn.XLOOKUP(B51&amp;C51&amp;D51,'2.1 Electricidad'!B:B&amp;'2.1 Electricidad'!C:C&amp;'2.1 Electricidad'!D:D,'2.1 Electricidad'!E:E,"No")*$D$5,"PENDIENTE")</f>
        <v>17.133249809999999</v>
      </c>
      <c r="F51" s="109" t="str">
        <f t="shared" si="0"/>
        <v>kgCO2e/MWh</v>
      </c>
      <c r="G51" s="402" t="s">
        <v>1452</v>
      </c>
    </row>
    <row r="52" spans="2:7">
      <c r="B52" s="72" t="s">
        <v>205</v>
      </c>
      <c r="C52" s="72">
        <v>2015</v>
      </c>
      <c r="D52" s="72" t="s">
        <v>201</v>
      </c>
      <c r="E52" s="342" cm="1">
        <f t="array" ref="E52">IFERROR(_xlfn.XLOOKUP(B52&amp;C52&amp;D52,'2.1 Electricidad'!B:B&amp;'2.1 Electricidad'!C:C&amp;'2.1 Electricidad'!D:D,'2.1 Electricidad'!E:E,"No")*$D$5,"PENDIENTE")</f>
        <v>17133.249810000001</v>
      </c>
      <c r="F52" s="109" t="str">
        <f t="shared" si="0"/>
        <v>kgCO2e/GWh</v>
      </c>
      <c r="G52" s="402" t="s">
        <v>1452</v>
      </c>
    </row>
    <row r="53" spans="2:7">
      <c r="B53" s="72" t="s">
        <v>205</v>
      </c>
      <c r="C53" s="72">
        <v>2015</v>
      </c>
      <c r="D53" s="72" t="s">
        <v>202</v>
      </c>
      <c r="E53" s="342" cm="1">
        <f t="array" ref="E53">IFERROR(_xlfn.XLOOKUP(B53&amp;C53&amp;D53,'2.1 Electricidad'!B:B&amp;'2.1 Electricidad'!C:C&amp;'2.1 Electricidad'!D:D,'2.1 Electricidad'!E:E,"No")*$D$5,"PENDIENTE")</f>
        <v>1.7133249810000001E-2</v>
      </c>
      <c r="F53" s="109" t="str">
        <f t="shared" si="0"/>
        <v>kgCO2e/kWh</v>
      </c>
      <c r="G53" s="402" t="s">
        <v>1452</v>
      </c>
    </row>
    <row r="54" spans="2:7">
      <c r="B54" s="72" t="s">
        <v>205</v>
      </c>
      <c r="C54" s="72">
        <v>2016</v>
      </c>
      <c r="D54" s="72" t="s">
        <v>200</v>
      </c>
      <c r="E54" s="471" cm="1">
        <f t="array" ref="E54">IFERROR(_xlfn.XLOOKUP(B54&amp;C54&amp;D54,'2.1 Electricidad'!B:B&amp;'2.1 Electricidad'!C:C&amp;'2.1 Electricidad'!D:D,'2.1 Electricidad'!E:E,"No")*$D$5,"PENDIENTE")</f>
        <v>22.95200019</v>
      </c>
      <c r="F54" s="109" t="str">
        <f t="shared" si="0"/>
        <v>kgCO2e/MWh</v>
      </c>
      <c r="G54" s="402" t="s">
        <v>1452</v>
      </c>
    </row>
    <row r="55" spans="2:7">
      <c r="B55" s="72" t="s">
        <v>205</v>
      </c>
      <c r="C55" s="72">
        <v>2016</v>
      </c>
      <c r="D55" s="72" t="s">
        <v>201</v>
      </c>
      <c r="E55" s="342" cm="1">
        <f t="array" ref="E55">IFERROR(_xlfn.XLOOKUP(B55&amp;C55&amp;D55,'2.1 Electricidad'!B:B&amp;'2.1 Electricidad'!C:C&amp;'2.1 Electricidad'!D:D,'2.1 Electricidad'!E:E,"No")*$D$5,"PENDIENTE")</f>
        <v>22952.000189999999</v>
      </c>
      <c r="F55" s="109" t="str">
        <f t="shared" si="0"/>
        <v>kgCO2e/GWh</v>
      </c>
      <c r="G55" s="402" t="s">
        <v>1452</v>
      </c>
    </row>
    <row r="56" spans="2:7">
      <c r="B56" s="72" t="s">
        <v>205</v>
      </c>
      <c r="C56" s="72">
        <v>2016</v>
      </c>
      <c r="D56" s="72" t="s">
        <v>202</v>
      </c>
      <c r="E56" s="342" cm="1">
        <f t="array" ref="E56">IFERROR(_xlfn.XLOOKUP(B56&amp;C56&amp;D56,'2.1 Electricidad'!B:B&amp;'2.1 Electricidad'!C:C&amp;'2.1 Electricidad'!D:D,'2.1 Electricidad'!E:E,"No")*$D$5,"PENDIENTE")</f>
        <v>2.2952000190000002E-2</v>
      </c>
      <c r="F56" s="109" t="str">
        <f t="shared" si="0"/>
        <v>kgCO2e/kWh</v>
      </c>
      <c r="G56" s="402" t="s">
        <v>1452</v>
      </c>
    </row>
    <row r="57" spans="2:7">
      <c r="B57" s="72" t="s">
        <v>205</v>
      </c>
      <c r="C57" s="72">
        <v>2017</v>
      </c>
      <c r="D57" s="72" t="s">
        <v>200</v>
      </c>
      <c r="E57" s="471" cm="1">
        <f t="array" ref="E57">IFERROR(_xlfn.XLOOKUP(B57&amp;C57&amp;D57,'2.1 Electricidad'!B:B&amp;'2.1 Electricidad'!C:C&amp;'2.1 Electricidad'!D:D,'2.1 Electricidad'!E:E,"No")*$D$5,"PENDIENTE")</f>
        <v>11.058</v>
      </c>
      <c r="F57" s="109" t="str">
        <f t="shared" si="0"/>
        <v>kgCO2e/MWh</v>
      </c>
      <c r="G57" s="402" t="s">
        <v>1452</v>
      </c>
    </row>
    <row r="58" spans="2:7">
      <c r="B58" s="72" t="s">
        <v>205</v>
      </c>
      <c r="C58" s="72">
        <v>2017</v>
      </c>
      <c r="D58" s="72" t="s">
        <v>201</v>
      </c>
      <c r="E58" s="342" cm="1">
        <f t="array" ref="E58">IFERROR(_xlfn.XLOOKUP(B58&amp;C58&amp;D58,'2.1 Electricidad'!B:B&amp;'2.1 Electricidad'!C:C&amp;'2.1 Electricidad'!D:D,'2.1 Electricidad'!E:E,"No")*$D$5,"PENDIENTE")</f>
        <v>11058</v>
      </c>
      <c r="F58" s="109" t="str">
        <f t="shared" si="0"/>
        <v>kgCO2e/GWh</v>
      </c>
      <c r="G58" s="402" t="s">
        <v>1452</v>
      </c>
    </row>
    <row r="59" spans="2:7">
      <c r="B59" s="72" t="s">
        <v>205</v>
      </c>
      <c r="C59" s="72">
        <v>2017</v>
      </c>
      <c r="D59" s="72" t="s">
        <v>202</v>
      </c>
      <c r="E59" s="342" cm="1">
        <f t="array" ref="E59">IFERROR(_xlfn.XLOOKUP(B59&amp;C59&amp;D59,'2.1 Electricidad'!B:B&amp;'2.1 Electricidad'!C:C&amp;'2.1 Electricidad'!D:D,'2.1 Electricidad'!E:E,"No")*$D$5,"PENDIENTE")</f>
        <v>1.1058E-2</v>
      </c>
      <c r="F59" s="109" t="str">
        <f t="shared" si="0"/>
        <v>kgCO2e/kWh</v>
      </c>
      <c r="G59" s="402" t="s">
        <v>1452</v>
      </c>
    </row>
    <row r="60" spans="2:7">
      <c r="B60" s="72" t="s">
        <v>205</v>
      </c>
      <c r="C60" s="72">
        <v>2018</v>
      </c>
      <c r="D60" s="72" t="s">
        <v>200</v>
      </c>
      <c r="E60" s="471" cm="1">
        <f t="array" ref="E60">IFERROR(_xlfn.XLOOKUP(B60&amp;C60&amp;D60,'2.1 Electricidad'!B:B&amp;'2.1 Electricidad'!C:C&amp;'2.1 Electricidad'!D:D,'2.1 Electricidad'!E:E,"No")*$D$5,"PENDIENTE")</f>
        <v>13.062500000190001</v>
      </c>
      <c r="F60" s="109" t="str">
        <f t="shared" si="0"/>
        <v>kgCO2e/MWh</v>
      </c>
      <c r="G60" s="402" t="s">
        <v>1452</v>
      </c>
    </row>
    <row r="61" spans="2:7">
      <c r="B61" s="72" t="s">
        <v>205</v>
      </c>
      <c r="C61" s="72">
        <v>2018</v>
      </c>
      <c r="D61" s="72" t="s">
        <v>201</v>
      </c>
      <c r="E61" s="342" cm="1">
        <f t="array" ref="E61">IFERROR(_xlfn.XLOOKUP(B61&amp;C61&amp;D61,'2.1 Electricidad'!B:B&amp;'2.1 Electricidad'!C:C&amp;'2.1 Electricidad'!D:D,'2.1 Electricidad'!E:E,"No")*$D$5,"PENDIENTE")</f>
        <v>13062.500000190001</v>
      </c>
      <c r="F61" s="109" t="str">
        <f t="shared" si="0"/>
        <v>kgCO2e/GWh</v>
      </c>
      <c r="G61" s="402" t="s">
        <v>1452</v>
      </c>
    </row>
    <row r="62" spans="2:7">
      <c r="B62" s="72" t="s">
        <v>205</v>
      </c>
      <c r="C62" s="72">
        <v>2018</v>
      </c>
      <c r="D62" s="72" t="s">
        <v>202</v>
      </c>
      <c r="E62" s="342" cm="1">
        <f t="array" ref="E62">IFERROR(_xlfn.XLOOKUP(B62&amp;C62&amp;D62,'2.1 Electricidad'!B:B&amp;'2.1 Electricidad'!C:C&amp;'2.1 Electricidad'!D:D,'2.1 Electricidad'!E:E,"No")*$D$5,"PENDIENTE")</f>
        <v>1.3062500000190002E-2</v>
      </c>
      <c r="F62" s="109" t="str">
        <f t="shared" si="0"/>
        <v>kgCO2e/kWh</v>
      </c>
      <c r="G62" s="402" t="s">
        <v>1452</v>
      </c>
    </row>
    <row r="63" spans="2:7">
      <c r="B63" s="72" t="s">
        <v>205</v>
      </c>
      <c r="C63" s="72">
        <v>2019</v>
      </c>
      <c r="D63" s="72" t="s">
        <v>200</v>
      </c>
      <c r="E63" s="471" cm="1">
        <f t="array" ref="E63">IFERROR(_xlfn.XLOOKUP(B63&amp;C63&amp;D63,'2.1 Electricidad'!B:B&amp;'2.1 Electricidad'!C:C&amp;'2.1 Electricidad'!D:D,'2.1 Electricidad'!E:E,"No")*$D$5,"PENDIENTE")</f>
        <v>17.736500000189999</v>
      </c>
      <c r="F63" s="109" t="str">
        <f t="shared" si="0"/>
        <v>kgCO2e/MWh</v>
      </c>
      <c r="G63" s="402" t="s">
        <v>1452</v>
      </c>
    </row>
    <row r="64" spans="2:7">
      <c r="B64" s="72" t="s">
        <v>205</v>
      </c>
      <c r="C64" s="72">
        <v>2019</v>
      </c>
      <c r="D64" s="72" t="s">
        <v>201</v>
      </c>
      <c r="E64" s="342" cm="1">
        <f t="array" ref="E64">IFERROR(_xlfn.XLOOKUP(B64&amp;C64&amp;D64,'2.1 Electricidad'!B:B&amp;'2.1 Electricidad'!C:C&amp;'2.1 Electricidad'!D:D,'2.1 Electricidad'!E:E,"No")*$D$5,"PENDIENTE")</f>
        <v>17736.500000190001</v>
      </c>
      <c r="F64" s="109" t="str">
        <f t="shared" si="0"/>
        <v>kgCO2e/GWh</v>
      </c>
      <c r="G64" s="402" t="s">
        <v>1452</v>
      </c>
    </row>
    <row r="65" spans="2:7">
      <c r="B65" s="72" t="s">
        <v>205</v>
      </c>
      <c r="C65" s="72">
        <v>2019</v>
      </c>
      <c r="D65" s="72" t="s">
        <v>202</v>
      </c>
      <c r="E65" s="342" cm="1">
        <f t="array" ref="E65">IFERROR(_xlfn.XLOOKUP(B65&amp;C65&amp;D65,'2.1 Electricidad'!B:B&amp;'2.1 Electricidad'!C:C&amp;'2.1 Electricidad'!D:D,'2.1 Electricidad'!E:E,"No")*$D$5,"PENDIENTE")</f>
        <v>1.773650000019E-2</v>
      </c>
      <c r="F65" s="109" t="str">
        <f t="shared" si="0"/>
        <v>kgCO2e/kWh</v>
      </c>
      <c r="G65" s="402" t="s">
        <v>1452</v>
      </c>
    </row>
    <row r="66" spans="2:7">
      <c r="B66" s="72" t="s">
        <v>205</v>
      </c>
      <c r="C66" s="72">
        <v>2020</v>
      </c>
      <c r="D66" s="72" t="s">
        <v>200</v>
      </c>
      <c r="E66" s="471" cm="1">
        <f t="array" ref="E66">IFERROR(_xlfn.XLOOKUP(B66&amp;C66&amp;D66,'2.1 Electricidad'!B:B&amp;'2.1 Electricidad'!C:C&amp;'2.1 Electricidad'!D:D,'2.1 Electricidad'!E:E,"No")*$D$5,"PENDIENTE")</f>
        <v>17.560749999810003</v>
      </c>
      <c r="F66" s="109" t="str">
        <f t="shared" si="0"/>
        <v>kgCO2e/MWh</v>
      </c>
      <c r="G66" s="402" t="s">
        <v>1452</v>
      </c>
    </row>
    <row r="67" spans="2:7">
      <c r="B67" s="72" t="s">
        <v>205</v>
      </c>
      <c r="C67" s="72">
        <v>2020</v>
      </c>
      <c r="D67" s="72" t="s">
        <v>201</v>
      </c>
      <c r="E67" s="342" cm="1">
        <f t="array" ref="E67">IFERROR(_xlfn.XLOOKUP(B67&amp;C67&amp;D67,'2.1 Electricidad'!B:B&amp;'2.1 Electricidad'!C:C&amp;'2.1 Electricidad'!D:D,'2.1 Electricidad'!E:E,"No")*$D$5,"PENDIENTE")</f>
        <v>17560.749999809999</v>
      </c>
      <c r="F67" s="109" t="str">
        <f t="shared" si="0"/>
        <v>kgCO2e/GWh</v>
      </c>
      <c r="G67" s="402" t="s">
        <v>1452</v>
      </c>
    </row>
    <row r="68" spans="2:7">
      <c r="B68" s="72" t="s">
        <v>205</v>
      </c>
      <c r="C68" s="72">
        <v>2020</v>
      </c>
      <c r="D68" s="72" t="s">
        <v>202</v>
      </c>
      <c r="E68" s="342" cm="1">
        <f t="array" ref="E68">IFERROR(_xlfn.XLOOKUP(B68&amp;C68&amp;D68,'2.1 Electricidad'!B:B&amp;'2.1 Electricidad'!C:C&amp;'2.1 Electricidad'!D:D,'2.1 Electricidad'!E:E,"No")*$D$5,"PENDIENTE")</f>
        <v>1.7560749999810003E-2</v>
      </c>
      <c r="F68" s="109" t="str">
        <f t="shared" si="0"/>
        <v>kgCO2e/kWh</v>
      </c>
      <c r="G68" s="402" t="s">
        <v>1452</v>
      </c>
    </row>
    <row r="69" spans="2:7">
      <c r="B69" s="72" t="s">
        <v>205</v>
      </c>
      <c r="C69" s="72">
        <v>2021</v>
      </c>
      <c r="D69" s="72" t="s">
        <v>200</v>
      </c>
      <c r="E69" s="471" cm="1">
        <f t="array" ref="E69">IFERROR(_xlfn.XLOOKUP(B69&amp;C69&amp;D69,'2.1 Electricidad'!B:B&amp;'2.1 Electricidad'!C:C&amp;'2.1 Electricidad'!D:D,'2.1 Electricidad'!E:E,"No")*$D$5,"PENDIENTE")</f>
        <v>21.218250000000001</v>
      </c>
      <c r="F69" s="109" t="str">
        <f t="shared" si="0"/>
        <v>kgCO2e/MWh</v>
      </c>
      <c r="G69" s="402" t="s">
        <v>1452</v>
      </c>
    </row>
    <row r="70" spans="2:7">
      <c r="B70" s="72" t="s">
        <v>205</v>
      </c>
      <c r="C70" s="72">
        <v>2021</v>
      </c>
      <c r="D70" s="72" t="s">
        <v>201</v>
      </c>
      <c r="E70" s="342" cm="1">
        <f t="array" ref="E70">IFERROR(_xlfn.XLOOKUP(B70&amp;C70&amp;D70,'2.1 Electricidad'!B:B&amp;'2.1 Electricidad'!C:C&amp;'2.1 Electricidad'!D:D,'2.1 Electricidad'!E:E,"No")*$D$5,"PENDIENTE")</f>
        <v>21218.25</v>
      </c>
      <c r="F70" s="109" t="str">
        <f t="shared" si="0"/>
        <v>kgCO2e/GWh</v>
      </c>
      <c r="G70" s="402" t="s">
        <v>1452</v>
      </c>
    </row>
    <row r="71" spans="2:7">
      <c r="B71" s="72" t="s">
        <v>205</v>
      </c>
      <c r="C71" s="72">
        <v>2021</v>
      </c>
      <c r="D71" s="72" t="s">
        <v>202</v>
      </c>
      <c r="E71" s="342" cm="1">
        <f t="array" ref="E71">IFERROR(_xlfn.XLOOKUP(B71&amp;C71&amp;D71,'2.1 Electricidad'!B:B&amp;'2.1 Electricidad'!C:C&amp;'2.1 Electricidad'!D:D,'2.1 Electricidad'!E:E,"No")*$D$5,"PENDIENTE")</f>
        <v>2.1218250000000001E-2</v>
      </c>
      <c r="F71" s="109" t="str">
        <f t="shared" si="0"/>
        <v>kgCO2e/kWh</v>
      </c>
      <c r="G71" s="402" t="s">
        <v>1452</v>
      </c>
    </row>
    <row r="72" spans="2:7">
      <c r="B72" s="72" t="s">
        <v>205</v>
      </c>
      <c r="C72" s="72">
        <v>2022</v>
      </c>
      <c r="D72" s="72" t="s">
        <v>200</v>
      </c>
      <c r="E72" s="471" cm="1">
        <f t="array" ref="E72">IFERROR(_xlfn.XLOOKUP(B72&amp;C72&amp;D72,'2.1 Electricidad'!B:B&amp;'2.1 Electricidad'!C:C&amp;'2.1 Electricidad'!D:D,'2.1 Electricidad'!E:E,"No")*$D$5,"PENDIENTE")</f>
        <v>22.0305</v>
      </c>
      <c r="F72" s="109" t="str">
        <f t="shared" si="0"/>
        <v>kgCO2e/MWh</v>
      </c>
      <c r="G72" s="402" t="s">
        <v>1452</v>
      </c>
    </row>
    <row r="73" spans="2:7">
      <c r="B73" s="72" t="s">
        <v>205</v>
      </c>
      <c r="C73" s="72">
        <v>2022</v>
      </c>
      <c r="D73" s="72" t="s">
        <v>201</v>
      </c>
      <c r="E73" s="342" cm="1">
        <f t="array" ref="E73">IFERROR(_xlfn.XLOOKUP(B73&amp;C73&amp;D73,'2.1 Electricidad'!B:B&amp;'2.1 Electricidad'!C:C&amp;'2.1 Electricidad'!D:D,'2.1 Electricidad'!E:E,"No")*$D$5,"PENDIENTE")</f>
        <v>22030.5</v>
      </c>
      <c r="F73" s="109" t="str">
        <f t="shared" si="0"/>
        <v>kgCO2e/GWh</v>
      </c>
      <c r="G73" s="402" t="s">
        <v>1452</v>
      </c>
    </row>
    <row r="74" spans="2:7">
      <c r="B74" s="72" t="s">
        <v>205</v>
      </c>
      <c r="C74" s="72">
        <v>2022</v>
      </c>
      <c r="D74" s="72" t="s">
        <v>202</v>
      </c>
      <c r="E74" s="342" cm="1">
        <f t="array" ref="E74">IFERROR(_xlfn.XLOOKUP(B74&amp;C74&amp;D74,'2.1 Electricidad'!B:B&amp;'2.1 Electricidad'!C:C&amp;'2.1 Electricidad'!D:D,'2.1 Electricidad'!E:E,"No")*$D$5,"PENDIENTE")</f>
        <v>2.2030500000000001E-2</v>
      </c>
      <c r="F74" s="109" t="str">
        <f t="shared" si="0"/>
        <v>kgCO2e/kWh</v>
      </c>
      <c r="G74" s="402" t="s">
        <v>1452</v>
      </c>
    </row>
    <row r="75" spans="2:7">
      <c r="B75" s="72" t="s">
        <v>205</v>
      </c>
      <c r="C75" s="72">
        <v>2023</v>
      </c>
      <c r="D75" s="72" t="s">
        <v>200</v>
      </c>
      <c r="E75" s="471" cm="1">
        <f t="array" ref="E75">IFERROR(_xlfn.XLOOKUP(B75&amp;C75&amp;D75,'2.1 Electricidad'!B:B&amp;'2.1 Electricidad'!C:C&amp;'2.1 Electricidad'!D:D,'2.1 Electricidad'!E:E,"No")*$D$5,"PENDIENTE")</f>
        <v>19.166250000000002</v>
      </c>
      <c r="F75" s="109" t="str">
        <f t="shared" si="0"/>
        <v>kgCO2e/MWh</v>
      </c>
      <c r="G75" s="402" t="s">
        <v>1452</v>
      </c>
    </row>
    <row r="76" spans="2:7">
      <c r="B76" s="72" t="s">
        <v>205</v>
      </c>
      <c r="C76" s="72">
        <v>2023</v>
      </c>
      <c r="D76" s="72" t="s">
        <v>201</v>
      </c>
      <c r="E76" s="342" cm="1">
        <f t="array" ref="E76">IFERROR(_xlfn.XLOOKUP(B76&amp;C76&amp;D76,'2.1 Electricidad'!B:B&amp;'2.1 Electricidad'!C:C&amp;'2.1 Electricidad'!D:D,'2.1 Electricidad'!E:E,"No")*$D$5,"PENDIENTE")</f>
        <v>19166.25</v>
      </c>
      <c r="F76" s="109" t="str">
        <f t="shared" si="0"/>
        <v>kgCO2e/GWh</v>
      </c>
      <c r="G76" s="402" t="s">
        <v>1452</v>
      </c>
    </row>
    <row r="77" spans="2:7">
      <c r="B77" s="72" t="s">
        <v>205</v>
      </c>
      <c r="C77" s="72">
        <v>2023</v>
      </c>
      <c r="D77" s="72" t="s">
        <v>202</v>
      </c>
      <c r="E77" s="342" cm="1">
        <f t="array" ref="E77">IFERROR(_xlfn.XLOOKUP(B77&amp;C77&amp;D77,'2.1 Electricidad'!B:B&amp;'2.1 Electricidad'!C:C&amp;'2.1 Electricidad'!D:D,'2.1 Electricidad'!E:E,"No")*$D$5,"PENDIENTE")</f>
        <v>1.9166249999999999E-2</v>
      </c>
      <c r="F77" s="109" t="str">
        <f t="shared" ref="F77:F140" si="1">"kgCO2e/"&amp;D77</f>
        <v>kgCO2e/kWh</v>
      </c>
      <c r="G77" s="402" t="s">
        <v>1452</v>
      </c>
    </row>
    <row r="78" spans="2:7">
      <c r="B78" s="72" t="s">
        <v>205</v>
      </c>
      <c r="C78" s="72">
        <v>2024</v>
      </c>
      <c r="D78" s="72" t="s">
        <v>200</v>
      </c>
      <c r="E78" s="472" t="str" cm="1">
        <f t="array" ref="E78">IFERROR(_xlfn.XLOOKUP(B78&amp;C78&amp;D78,'2.1 Electricidad'!B:B&amp;'2.1 Electricidad'!C:C&amp;'2.1 Electricidad'!D:D,'2.1 Electricidad'!E:E,"No")*$D$5,"PENDIENTE")</f>
        <v>PENDIENTE</v>
      </c>
      <c r="F78" s="109" t="str">
        <f t="shared" si="1"/>
        <v>kgCO2e/MWh</v>
      </c>
      <c r="G78" s="402" t="s">
        <v>1452</v>
      </c>
    </row>
    <row r="79" spans="2:7">
      <c r="B79" s="72" t="s">
        <v>205</v>
      </c>
      <c r="C79" s="72">
        <v>2024</v>
      </c>
      <c r="D79" s="72" t="s">
        <v>201</v>
      </c>
      <c r="E79" s="343" t="str" cm="1">
        <f t="array" ref="E79">IFERROR(_xlfn.XLOOKUP(B79&amp;C79&amp;D79,'2.1 Electricidad'!B:B&amp;'2.1 Electricidad'!C:C&amp;'2.1 Electricidad'!D:D,'2.1 Electricidad'!E:E,"No")*$D$5,"PENDIENTE")</f>
        <v>PENDIENTE</v>
      </c>
      <c r="F79" s="109" t="str">
        <f t="shared" si="1"/>
        <v>kgCO2e/GWh</v>
      </c>
      <c r="G79" s="402" t="s">
        <v>1452</v>
      </c>
    </row>
    <row r="80" spans="2:7">
      <c r="B80" s="72" t="s">
        <v>205</v>
      </c>
      <c r="C80" s="72">
        <v>2024</v>
      </c>
      <c r="D80" s="72" t="s">
        <v>202</v>
      </c>
      <c r="E80" s="343" t="str" cm="1">
        <f t="array" ref="E80">IFERROR(_xlfn.XLOOKUP(B80&amp;C80&amp;D80,'2.1 Electricidad'!B:B&amp;'2.1 Electricidad'!C:C&amp;'2.1 Electricidad'!D:D,'2.1 Electricidad'!E:E,"No")*$D$5,"PENDIENTE")</f>
        <v>PENDIENTE</v>
      </c>
      <c r="F80" s="109" t="str">
        <f t="shared" si="1"/>
        <v>kgCO2e/kWh</v>
      </c>
      <c r="G80" s="402" t="s">
        <v>1452</v>
      </c>
    </row>
    <row r="81" spans="2:7">
      <c r="B81" s="72" t="s">
        <v>206</v>
      </c>
      <c r="C81" s="72">
        <v>2015</v>
      </c>
      <c r="D81" s="72" t="s">
        <v>200</v>
      </c>
      <c r="E81" s="471" cm="1">
        <f t="array" ref="E81">IFERROR(_xlfn.XLOOKUP(B81&amp;C81&amp;D81,'2.1 Electricidad'!B:B&amp;'2.1 Electricidad'!C:C&amp;'2.1 Electricidad'!D:D,'2.1 Electricidad'!E:E,"No")*$D$5,"PENDIENTE")</f>
        <v>32.394999810000002</v>
      </c>
      <c r="F81" s="109" t="str">
        <f t="shared" si="1"/>
        <v>kgCO2e/MWh</v>
      </c>
      <c r="G81" s="402" t="s">
        <v>1452</v>
      </c>
    </row>
    <row r="82" spans="2:7">
      <c r="B82" s="72" t="s">
        <v>206</v>
      </c>
      <c r="C82" s="72">
        <v>2015</v>
      </c>
      <c r="D82" s="72" t="s">
        <v>201</v>
      </c>
      <c r="E82" s="342" cm="1">
        <f t="array" ref="E82">IFERROR(_xlfn.XLOOKUP(B82&amp;C82&amp;D82,'2.1 Electricidad'!B:B&amp;'2.1 Electricidad'!C:C&amp;'2.1 Electricidad'!D:D,'2.1 Electricidad'!E:E,"No")*$D$5,"PENDIENTE")</f>
        <v>32394.999810000005</v>
      </c>
      <c r="F82" s="109" t="str">
        <f t="shared" si="1"/>
        <v>kgCO2e/GWh</v>
      </c>
      <c r="G82" s="402" t="s">
        <v>1452</v>
      </c>
    </row>
    <row r="83" spans="2:7">
      <c r="B83" s="72" t="s">
        <v>206</v>
      </c>
      <c r="C83" s="72">
        <v>2015</v>
      </c>
      <c r="D83" s="72" t="s">
        <v>202</v>
      </c>
      <c r="E83" s="342" cm="1">
        <f t="array" ref="E83">IFERROR(_xlfn.XLOOKUP(B83&amp;C83&amp;D83,'2.1 Electricidad'!B:B&amp;'2.1 Electricidad'!C:C&amp;'2.1 Electricidad'!D:D,'2.1 Electricidad'!E:E,"No")*$D$5,"PENDIENTE")</f>
        <v>3.2394999810000005E-2</v>
      </c>
      <c r="F83" s="109" t="str">
        <f t="shared" si="1"/>
        <v>kgCO2e/kWh</v>
      </c>
      <c r="G83" s="402" t="s">
        <v>1452</v>
      </c>
    </row>
    <row r="84" spans="2:7">
      <c r="B84" s="72" t="s">
        <v>206</v>
      </c>
      <c r="C84" s="72">
        <v>2016</v>
      </c>
      <c r="D84" s="72" t="s">
        <v>200</v>
      </c>
      <c r="E84" s="471" cm="1">
        <f t="array" ref="E84">IFERROR(_xlfn.XLOOKUP(B84&amp;C84&amp;D84,'2.1 Electricidad'!B:B&amp;'2.1 Electricidad'!C:C&amp;'2.1 Electricidad'!D:D,'2.1 Electricidad'!E:E,"No")*$D$5,"PENDIENTE")</f>
        <v>32.323749810000002</v>
      </c>
      <c r="F84" s="109" t="str">
        <f t="shared" si="1"/>
        <v>kgCO2e/MWh</v>
      </c>
      <c r="G84" s="402" t="s">
        <v>1452</v>
      </c>
    </row>
    <row r="85" spans="2:7">
      <c r="B85" s="72" t="s">
        <v>206</v>
      </c>
      <c r="C85" s="72">
        <v>2016</v>
      </c>
      <c r="D85" s="72" t="s">
        <v>201</v>
      </c>
      <c r="E85" s="342" cm="1">
        <f t="array" ref="E85">IFERROR(_xlfn.XLOOKUP(B85&amp;C85&amp;D85,'2.1 Electricidad'!B:B&amp;'2.1 Electricidad'!C:C&amp;'2.1 Electricidad'!D:D,'2.1 Electricidad'!E:E,"No")*$D$5,"PENDIENTE")</f>
        <v>32323.749810000005</v>
      </c>
      <c r="F85" s="109" t="str">
        <f t="shared" si="1"/>
        <v>kgCO2e/GWh</v>
      </c>
      <c r="G85" s="402" t="s">
        <v>1452</v>
      </c>
    </row>
    <row r="86" spans="2:7">
      <c r="B86" s="72" t="s">
        <v>206</v>
      </c>
      <c r="C86" s="72">
        <v>2016</v>
      </c>
      <c r="D86" s="72" t="s">
        <v>202</v>
      </c>
      <c r="E86" s="342" cm="1">
        <f t="array" ref="E86">IFERROR(_xlfn.XLOOKUP(B86&amp;C86&amp;D86,'2.1 Electricidad'!B:B&amp;'2.1 Electricidad'!C:C&amp;'2.1 Electricidad'!D:D,'2.1 Electricidad'!E:E,"No")*$D$5,"PENDIENTE")</f>
        <v>3.232374981000001E-2</v>
      </c>
      <c r="F86" s="109" t="str">
        <f t="shared" si="1"/>
        <v>kgCO2e/kWh</v>
      </c>
      <c r="G86" s="402" t="s">
        <v>1452</v>
      </c>
    </row>
    <row r="87" spans="2:7">
      <c r="B87" s="72" t="s">
        <v>206</v>
      </c>
      <c r="C87" s="72">
        <v>2017</v>
      </c>
      <c r="D87" s="72" t="s">
        <v>200</v>
      </c>
      <c r="E87" s="471" cm="1">
        <f t="array" ref="E87">IFERROR(_xlfn.XLOOKUP(B87&amp;C87&amp;D87,'2.1 Electricidad'!B:B&amp;'2.1 Electricidad'!C:C&amp;'2.1 Electricidad'!D:D,'2.1 Electricidad'!E:E,"No")*$D$5,"PENDIENTE")</f>
        <v>32.361750000000001</v>
      </c>
      <c r="F87" s="109" t="str">
        <f t="shared" si="1"/>
        <v>kgCO2e/MWh</v>
      </c>
      <c r="G87" s="402" t="s">
        <v>1452</v>
      </c>
    </row>
    <row r="88" spans="2:7">
      <c r="B88" s="72" t="s">
        <v>206</v>
      </c>
      <c r="C88" s="72">
        <v>2017</v>
      </c>
      <c r="D88" s="72" t="s">
        <v>201</v>
      </c>
      <c r="E88" s="342" cm="1">
        <f t="array" ref="E88">IFERROR(_xlfn.XLOOKUP(B88&amp;C88&amp;D88,'2.1 Electricidad'!B:B&amp;'2.1 Electricidad'!C:C&amp;'2.1 Electricidad'!D:D,'2.1 Electricidad'!E:E,"No")*$D$5,"PENDIENTE")</f>
        <v>32361.75</v>
      </c>
      <c r="F88" s="109" t="str">
        <f t="shared" si="1"/>
        <v>kgCO2e/GWh</v>
      </c>
      <c r="G88" s="402" t="s">
        <v>1452</v>
      </c>
    </row>
    <row r="89" spans="2:7">
      <c r="B89" s="72" t="s">
        <v>206</v>
      </c>
      <c r="C89" s="72">
        <v>2017</v>
      </c>
      <c r="D89" s="72" t="s">
        <v>202</v>
      </c>
      <c r="E89" s="342" cm="1">
        <f t="array" ref="E89">IFERROR(_xlfn.XLOOKUP(B89&amp;C89&amp;D89,'2.1 Electricidad'!B:B&amp;'2.1 Electricidad'!C:C&amp;'2.1 Electricidad'!D:D,'2.1 Electricidad'!E:E,"No")*$D$5,"PENDIENTE")</f>
        <v>3.2361750000000002E-2</v>
      </c>
      <c r="F89" s="109" t="str">
        <f t="shared" si="1"/>
        <v>kgCO2e/kWh</v>
      </c>
      <c r="G89" s="402" t="s">
        <v>1452</v>
      </c>
    </row>
    <row r="90" spans="2:7">
      <c r="B90" s="72" t="s">
        <v>206</v>
      </c>
      <c r="C90" s="72">
        <v>2018</v>
      </c>
      <c r="D90" s="72" t="s">
        <v>200</v>
      </c>
      <c r="E90" s="471" cm="1">
        <f t="array" ref="E90">IFERROR(_xlfn.XLOOKUP(B90&amp;C90&amp;D90,'2.1 Electricidad'!B:B&amp;'2.1 Electricidad'!C:C&amp;'2.1 Electricidad'!D:D,'2.1 Electricidad'!E:E,"No")*$D$5,"PENDIENTE")</f>
        <v>32.603999999999999</v>
      </c>
      <c r="F90" s="109" t="str">
        <f t="shared" si="1"/>
        <v>kgCO2e/MWh</v>
      </c>
      <c r="G90" s="402" t="s">
        <v>1452</v>
      </c>
    </row>
    <row r="91" spans="2:7">
      <c r="B91" s="72" t="s">
        <v>206</v>
      </c>
      <c r="C91" s="72">
        <v>2018</v>
      </c>
      <c r="D91" s="72" t="s">
        <v>201</v>
      </c>
      <c r="E91" s="342" cm="1">
        <f t="array" ref="E91">IFERROR(_xlfn.XLOOKUP(B91&amp;C91&amp;D91,'2.1 Electricidad'!B:B&amp;'2.1 Electricidad'!C:C&amp;'2.1 Electricidad'!D:D,'2.1 Electricidad'!E:E,"No")*$D$5,"PENDIENTE")</f>
        <v>32604</v>
      </c>
      <c r="F91" s="109" t="str">
        <f t="shared" si="1"/>
        <v>kgCO2e/GWh</v>
      </c>
      <c r="G91" s="402" t="s">
        <v>1452</v>
      </c>
    </row>
    <row r="92" spans="2:7">
      <c r="B92" s="72" t="s">
        <v>206</v>
      </c>
      <c r="C92" s="72">
        <v>2018</v>
      </c>
      <c r="D92" s="72" t="s">
        <v>202</v>
      </c>
      <c r="E92" s="342" cm="1">
        <f t="array" ref="E92">IFERROR(_xlfn.XLOOKUP(B92&amp;C92&amp;D92,'2.1 Electricidad'!B:B&amp;'2.1 Electricidad'!C:C&amp;'2.1 Electricidad'!D:D,'2.1 Electricidad'!E:E,"No")*$D$5,"PENDIENTE")</f>
        <v>3.2604000000000008E-2</v>
      </c>
      <c r="F92" s="109" t="str">
        <f t="shared" si="1"/>
        <v>kgCO2e/kWh</v>
      </c>
      <c r="G92" s="402" t="s">
        <v>1452</v>
      </c>
    </row>
    <row r="93" spans="2:7">
      <c r="B93" s="72" t="s">
        <v>206</v>
      </c>
      <c r="C93" s="72">
        <v>2019</v>
      </c>
      <c r="D93" s="72" t="s">
        <v>200</v>
      </c>
      <c r="E93" s="471" cm="1">
        <f t="array" ref="E93">IFERROR(_xlfn.XLOOKUP(B93&amp;C93&amp;D93,'2.1 Electricidad'!B:B&amp;'2.1 Electricidad'!C:C&amp;'2.1 Electricidad'!D:D,'2.1 Electricidad'!E:E,"No")*$D$5,"PENDIENTE")</f>
        <v>33.953000189999997</v>
      </c>
      <c r="F93" s="109" t="str">
        <f t="shared" si="1"/>
        <v>kgCO2e/MWh</v>
      </c>
      <c r="G93" s="402" t="s">
        <v>1452</v>
      </c>
    </row>
    <row r="94" spans="2:7">
      <c r="B94" s="72" t="s">
        <v>206</v>
      </c>
      <c r="C94" s="72">
        <v>2019</v>
      </c>
      <c r="D94" s="72" t="s">
        <v>201</v>
      </c>
      <c r="E94" s="342" cm="1">
        <f t="array" ref="E94">IFERROR(_xlfn.XLOOKUP(B94&amp;C94&amp;D94,'2.1 Electricidad'!B:B&amp;'2.1 Electricidad'!C:C&amp;'2.1 Electricidad'!D:D,'2.1 Electricidad'!E:E,"No")*$D$5,"PENDIENTE")</f>
        <v>33953.000189999999</v>
      </c>
      <c r="F94" s="109" t="str">
        <f t="shared" si="1"/>
        <v>kgCO2e/GWh</v>
      </c>
      <c r="G94" s="402" t="s">
        <v>1452</v>
      </c>
    </row>
    <row r="95" spans="2:7">
      <c r="B95" s="72" t="s">
        <v>206</v>
      </c>
      <c r="C95" s="72">
        <v>2019</v>
      </c>
      <c r="D95" s="72" t="s">
        <v>202</v>
      </c>
      <c r="E95" s="342" cm="1">
        <f t="array" ref="E95">IFERROR(_xlfn.XLOOKUP(B95&amp;C95&amp;D95,'2.1 Electricidad'!B:B&amp;'2.1 Electricidad'!C:C&amp;'2.1 Electricidad'!D:D,'2.1 Electricidad'!E:E,"No")*$D$5,"PENDIENTE")</f>
        <v>3.3953000189999999E-2</v>
      </c>
      <c r="F95" s="109" t="str">
        <f t="shared" si="1"/>
        <v>kgCO2e/kWh</v>
      </c>
      <c r="G95" s="402" t="s">
        <v>1452</v>
      </c>
    </row>
    <row r="96" spans="2:7">
      <c r="B96" s="72" t="s">
        <v>206</v>
      </c>
      <c r="C96" s="72">
        <v>2020</v>
      </c>
      <c r="D96" s="72" t="s">
        <v>200</v>
      </c>
      <c r="E96" s="471" cm="1">
        <f t="array" ref="E96">IFERROR(_xlfn.XLOOKUP(B96&amp;C96&amp;D96,'2.1 Electricidad'!B:B&amp;'2.1 Electricidad'!C:C&amp;'2.1 Electricidad'!D:D,'2.1 Electricidad'!E:E,"No")*$D$5,"PENDIENTE")</f>
        <v>33.031500000000001</v>
      </c>
      <c r="F96" s="109" t="str">
        <f t="shared" si="1"/>
        <v>kgCO2e/MWh</v>
      </c>
      <c r="G96" s="402" t="s">
        <v>1452</v>
      </c>
    </row>
    <row r="97" spans="2:7">
      <c r="B97" s="72" t="s">
        <v>206</v>
      </c>
      <c r="C97" s="72">
        <v>2020</v>
      </c>
      <c r="D97" s="72" t="s">
        <v>201</v>
      </c>
      <c r="E97" s="342" cm="1">
        <f t="array" ref="E97">IFERROR(_xlfn.XLOOKUP(B97&amp;C97&amp;D97,'2.1 Electricidad'!B:B&amp;'2.1 Electricidad'!C:C&amp;'2.1 Electricidad'!D:D,'2.1 Electricidad'!E:E,"No")*$D$5,"PENDIENTE")</f>
        <v>33031.5</v>
      </c>
      <c r="F97" s="109" t="str">
        <f t="shared" si="1"/>
        <v>kgCO2e/GWh</v>
      </c>
      <c r="G97" s="402" t="s">
        <v>1452</v>
      </c>
    </row>
    <row r="98" spans="2:7">
      <c r="B98" s="72" t="s">
        <v>206</v>
      </c>
      <c r="C98" s="72">
        <v>2020</v>
      </c>
      <c r="D98" s="72" t="s">
        <v>202</v>
      </c>
      <c r="E98" s="342" cm="1">
        <f t="array" ref="E98">IFERROR(_xlfn.XLOOKUP(B98&amp;C98&amp;D98,'2.1 Electricidad'!B:B&amp;'2.1 Electricidad'!C:C&amp;'2.1 Electricidad'!D:D,'2.1 Electricidad'!E:E,"No")*$D$5,"PENDIENTE")</f>
        <v>3.3031500000000005E-2</v>
      </c>
      <c r="F98" s="109" t="str">
        <f t="shared" si="1"/>
        <v>kgCO2e/kWh</v>
      </c>
      <c r="G98" s="402" t="s">
        <v>1452</v>
      </c>
    </row>
    <row r="99" spans="2:7">
      <c r="B99" s="72" t="s">
        <v>206</v>
      </c>
      <c r="C99" s="72">
        <v>2021</v>
      </c>
      <c r="D99" s="72" t="s">
        <v>200</v>
      </c>
      <c r="E99" s="471" cm="1">
        <f t="array" ref="E99">IFERROR(_xlfn.XLOOKUP(B99&amp;C99&amp;D99,'2.1 Electricidad'!B:B&amp;'2.1 Electricidad'!C:C&amp;'2.1 Electricidad'!D:D,'2.1 Electricidad'!E:E,"No")*$D$5,"PENDIENTE")</f>
        <v>31.763250000000003</v>
      </c>
      <c r="F99" s="109" t="str">
        <f t="shared" si="1"/>
        <v>kgCO2e/MWh</v>
      </c>
      <c r="G99" s="402" t="s">
        <v>1452</v>
      </c>
    </row>
    <row r="100" spans="2:7">
      <c r="B100" s="72" t="s">
        <v>206</v>
      </c>
      <c r="C100" s="72">
        <v>2021</v>
      </c>
      <c r="D100" s="72" t="s">
        <v>201</v>
      </c>
      <c r="E100" s="342" cm="1">
        <f t="array" ref="E100">IFERROR(_xlfn.XLOOKUP(B100&amp;C100&amp;D100,'2.1 Electricidad'!B:B&amp;'2.1 Electricidad'!C:C&amp;'2.1 Electricidad'!D:D,'2.1 Electricidad'!E:E,"No")*$D$5,"PENDIENTE")</f>
        <v>31763.25</v>
      </c>
      <c r="F100" s="109" t="str">
        <f t="shared" si="1"/>
        <v>kgCO2e/GWh</v>
      </c>
      <c r="G100" s="402" t="s">
        <v>1452</v>
      </c>
    </row>
    <row r="101" spans="2:7">
      <c r="B101" s="72" t="s">
        <v>206</v>
      </c>
      <c r="C101" s="72">
        <v>2021</v>
      </c>
      <c r="D101" s="72" t="s">
        <v>202</v>
      </c>
      <c r="E101" s="342" cm="1">
        <f t="array" ref="E101">IFERROR(_xlfn.XLOOKUP(B101&amp;C101&amp;D101,'2.1 Electricidad'!B:B&amp;'2.1 Electricidad'!C:C&amp;'2.1 Electricidad'!D:D,'2.1 Electricidad'!E:E,"No")*$D$5,"PENDIENTE")</f>
        <v>3.176325E-2</v>
      </c>
      <c r="F101" s="109" t="str">
        <f t="shared" si="1"/>
        <v>kgCO2e/kWh</v>
      </c>
      <c r="G101" s="402" t="s">
        <v>1452</v>
      </c>
    </row>
    <row r="102" spans="2:7">
      <c r="B102" s="72" t="s">
        <v>206</v>
      </c>
      <c r="C102" s="72">
        <v>2022</v>
      </c>
      <c r="D102" s="72" t="s">
        <v>200</v>
      </c>
      <c r="E102" s="471" cm="1">
        <f t="array" ref="E102">IFERROR(_xlfn.XLOOKUP(B102&amp;C102&amp;D102,'2.1 Electricidad'!B:B&amp;'2.1 Electricidad'!C:C&amp;'2.1 Electricidad'!D:D,'2.1 Electricidad'!E:E,"No")*$D$5,"PENDIENTE")</f>
        <v>32.076750000000004</v>
      </c>
      <c r="F102" s="109" t="str">
        <f t="shared" si="1"/>
        <v>kgCO2e/MWh</v>
      </c>
      <c r="G102" s="402" t="s">
        <v>1452</v>
      </c>
    </row>
    <row r="103" spans="2:7">
      <c r="B103" s="72" t="s">
        <v>206</v>
      </c>
      <c r="C103" s="72">
        <v>2022</v>
      </c>
      <c r="D103" s="72" t="s">
        <v>201</v>
      </c>
      <c r="E103" s="342" cm="1">
        <f t="array" ref="E103">IFERROR(_xlfn.XLOOKUP(B103&amp;C103&amp;D103,'2.1 Electricidad'!B:B&amp;'2.1 Electricidad'!C:C&amp;'2.1 Electricidad'!D:D,'2.1 Electricidad'!E:E,"No")*$D$5,"PENDIENTE")</f>
        <v>32076.75</v>
      </c>
      <c r="F103" s="109" t="str">
        <f t="shared" si="1"/>
        <v>kgCO2e/GWh</v>
      </c>
      <c r="G103" s="402" t="s">
        <v>1452</v>
      </c>
    </row>
    <row r="104" spans="2:7">
      <c r="B104" s="72" t="s">
        <v>206</v>
      </c>
      <c r="C104" s="72">
        <v>2022</v>
      </c>
      <c r="D104" s="72" t="s">
        <v>202</v>
      </c>
      <c r="E104" s="342" cm="1">
        <f t="array" ref="E104">IFERROR(_xlfn.XLOOKUP(B104&amp;C104&amp;D104,'2.1 Electricidad'!B:B&amp;'2.1 Electricidad'!C:C&amp;'2.1 Electricidad'!D:D,'2.1 Electricidad'!E:E,"No")*$D$5,"PENDIENTE")</f>
        <v>3.2076750000000001E-2</v>
      </c>
      <c r="F104" s="109" t="str">
        <f t="shared" si="1"/>
        <v>kgCO2e/kWh</v>
      </c>
      <c r="G104" s="402" t="s">
        <v>1452</v>
      </c>
    </row>
    <row r="105" spans="2:7">
      <c r="B105" s="72" t="s">
        <v>206</v>
      </c>
      <c r="C105" s="72">
        <v>2023</v>
      </c>
      <c r="D105" s="72" t="s">
        <v>200</v>
      </c>
      <c r="E105" s="471" cm="1">
        <f t="array" ref="E105">IFERROR(_xlfn.XLOOKUP(B105&amp;C105&amp;D105,'2.1 Electricidad'!B:B&amp;'2.1 Electricidad'!C:C&amp;'2.1 Electricidad'!D:D,'2.1 Electricidad'!E:E,"No")*$D$5,"PENDIENTE")</f>
        <v>33.791499810000005</v>
      </c>
      <c r="F105" s="109" t="str">
        <f t="shared" si="1"/>
        <v>kgCO2e/MWh</v>
      </c>
      <c r="G105" s="402" t="s">
        <v>1452</v>
      </c>
    </row>
    <row r="106" spans="2:7">
      <c r="B106" s="72" t="s">
        <v>206</v>
      </c>
      <c r="C106" s="72">
        <v>2023</v>
      </c>
      <c r="D106" s="72" t="s">
        <v>201</v>
      </c>
      <c r="E106" s="342" cm="1">
        <f t="array" ref="E106">IFERROR(_xlfn.XLOOKUP(B106&amp;C106&amp;D106,'2.1 Electricidad'!B:B&amp;'2.1 Electricidad'!C:C&amp;'2.1 Electricidad'!D:D,'2.1 Electricidad'!E:E,"No")*$D$5,"PENDIENTE")</f>
        <v>33791.499810000008</v>
      </c>
      <c r="F106" s="109" t="str">
        <f t="shared" si="1"/>
        <v>kgCO2e/GWh</v>
      </c>
      <c r="G106" s="402" t="s">
        <v>1452</v>
      </c>
    </row>
    <row r="107" spans="2:7">
      <c r="B107" s="72" t="s">
        <v>206</v>
      </c>
      <c r="C107" s="72">
        <v>2023</v>
      </c>
      <c r="D107" s="72" t="s">
        <v>202</v>
      </c>
      <c r="E107" s="342" cm="1">
        <f t="array" ref="E107">IFERROR(_xlfn.XLOOKUP(B107&amp;C107&amp;D107,'2.1 Electricidad'!B:B&amp;'2.1 Electricidad'!C:C&amp;'2.1 Electricidad'!D:D,'2.1 Electricidad'!E:E,"No")*$D$5,"PENDIENTE")</f>
        <v>3.3791499810000007E-2</v>
      </c>
      <c r="F107" s="109" t="str">
        <f t="shared" si="1"/>
        <v>kgCO2e/kWh</v>
      </c>
      <c r="G107" s="402" t="s">
        <v>1452</v>
      </c>
    </row>
    <row r="108" spans="2:7">
      <c r="B108" s="72" t="s">
        <v>206</v>
      </c>
      <c r="C108" s="72">
        <v>2024</v>
      </c>
      <c r="D108" s="72" t="s">
        <v>200</v>
      </c>
      <c r="E108" s="472" t="str" cm="1">
        <f t="array" ref="E108">IFERROR(_xlfn.XLOOKUP(B108&amp;C108&amp;D108,'2.1 Electricidad'!B:B&amp;'2.1 Electricidad'!C:C&amp;'2.1 Electricidad'!D:D,'2.1 Electricidad'!E:E,"No")*$D$5,"PENDIENTE")</f>
        <v>PENDIENTE</v>
      </c>
      <c r="F108" s="109" t="str">
        <f t="shared" si="1"/>
        <v>kgCO2e/MWh</v>
      </c>
      <c r="G108" s="402" t="s">
        <v>1452</v>
      </c>
    </row>
    <row r="109" spans="2:7">
      <c r="B109" s="72" t="s">
        <v>206</v>
      </c>
      <c r="C109" s="72">
        <v>2024</v>
      </c>
      <c r="D109" s="72" t="s">
        <v>201</v>
      </c>
      <c r="E109" s="343" t="str" cm="1">
        <f t="array" ref="E109">IFERROR(_xlfn.XLOOKUP(B109&amp;C109&amp;D109,'2.1 Electricidad'!B:B&amp;'2.1 Electricidad'!C:C&amp;'2.1 Electricidad'!D:D,'2.1 Electricidad'!E:E,"No")*$D$5,"PENDIENTE")</f>
        <v>PENDIENTE</v>
      </c>
      <c r="F109" s="109" t="str">
        <f t="shared" si="1"/>
        <v>kgCO2e/GWh</v>
      </c>
      <c r="G109" s="402" t="s">
        <v>1452</v>
      </c>
    </row>
    <row r="110" spans="2:7">
      <c r="B110" s="72" t="s">
        <v>206</v>
      </c>
      <c r="C110" s="72">
        <v>2024</v>
      </c>
      <c r="D110" s="72" t="s">
        <v>202</v>
      </c>
      <c r="E110" s="343" t="str" cm="1">
        <f t="array" ref="E110">IFERROR(_xlfn.XLOOKUP(B110&amp;C110&amp;D110,'2.1 Electricidad'!B:B&amp;'2.1 Electricidad'!C:C&amp;'2.1 Electricidad'!D:D,'2.1 Electricidad'!E:E,"No")*$D$5,"PENDIENTE")</f>
        <v>PENDIENTE</v>
      </c>
      <c r="F110" s="109" t="str">
        <f t="shared" si="1"/>
        <v>kgCO2e/kWh</v>
      </c>
      <c r="G110" s="402" t="s">
        <v>1452</v>
      </c>
    </row>
    <row r="111" spans="2:7">
      <c r="B111" s="72" t="s">
        <v>207</v>
      </c>
      <c r="C111" s="72">
        <v>2015</v>
      </c>
      <c r="D111" s="72" t="s">
        <v>200</v>
      </c>
      <c r="E111" s="471" cm="1">
        <f t="array" ref="E111">IFERROR(_xlfn.XLOOKUP(B111&amp;C111&amp;D111,'2.1 Electricidad'!B:B&amp;'2.1 Electricidad'!C:C&amp;'2.1 Electricidad'!D:D,'2.1 Electricidad'!E:E,"No")*$D$5,"PENDIENTE")</f>
        <v>35.283000000000001</v>
      </c>
      <c r="F111" s="109" t="str">
        <f t="shared" si="1"/>
        <v>kgCO2e/MWh</v>
      </c>
      <c r="G111" s="402" t="s">
        <v>1452</v>
      </c>
    </row>
    <row r="112" spans="2:7">
      <c r="B112" s="72" t="s">
        <v>207</v>
      </c>
      <c r="C112" s="72">
        <v>2015</v>
      </c>
      <c r="D112" s="72" t="s">
        <v>201</v>
      </c>
      <c r="E112" s="342" cm="1">
        <f t="array" ref="E112">IFERROR(_xlfn.XLOOKUP(B112&amp;C112&amp;D112,'2.1 Electricidad'!B:B&amp;'2.1 Electricidad'!C:C&amp;'2.1 Electricidad'!D:D,'2.1 Electricidad'!E:E,"No")*$D$5,"PENDIENTE")</f>
        <v>35283</v>
      </c>
      <c r="F112" s="109" t="str">
        <f t="shared" si="1"/>
        <v>kgCO2e/GWh</v>
      </c>
      <c r="G112" s="402" t="s">
        <v>1452</v>
      </c>
    </row>
    <row r="113" spans="2:7">
      <c r="B113" s="72" t="s">
        <v>207</v>
      </c>
      <c r="C113" s="72">
        <v>2015</v>
      </c>
      <c r="D113" s="72" t="s">
        <v>202</v>
      </c>
      <c r="E113" s="342" cm="1">
        <f t="array" ref="E113">IFERROR(_xlfn.XLOOKUP(B113&amp;C113&amp;D113,'2.1 Electricidad'!B:B&amp;'2.1 Electricidad'!C:C&amp;'2.1 Electricidad'!D:D,'2.1 Electricidad'!E:E,"No")*$D$5,"PENDIENTE")</f>
        <v>3.5283000000000002E-2</v>
      </c>
      <c r="F113" s="109" t="str">
        <f t="shared" si="1"/>
        <v>kgCO2e/kWh</v>
      </c>
      <c r="G113" s="402" t="s">
        <v>1452</v>
      </c>
    </row>
    <row r="114" spans="2:7">
      <c r="B114" s="72" t="s">
        <v>207</v>
      </c>
      <c r="C114" s="72">
        <v>2016</v>
      </c>
      <c r="D114" s="72" t="s">
        <v>200</v>
      </c>
      <c r="E114" s="471" cm="1">
        <f t="array" ref="E114">IFERROR(_xlfn.XLOOKUP(B114&amp;C114&amp;D114,'2.1 Electricidad'!B:B&amp;'2.1 Electricidad'!C:C&amp;'2.1 Electricidad'!D:D,'2.1 Electricidad'!E:E,"No")*$D$5,"PENDIENTE")</f>
        <v>34.67975019</v>
      </c>
      <c r="F114" s="109" t="str">
        <f t="shared" si="1"/>
        <v>kgCO2e/MWh</v>
      </c>
      <c r="G114" s="402" t="s">
        <v>1452</v>
      </c>
    </row>
    <row r="115" spans="2:7">
      <c r="B115" s="72" t="s">
        <v>207</v>
      </c>
      <c r="C115" s="72">
        <v>2016</v>
      </c>
      <c r="D115" s="72" t="s">
        <v>201</v>
      </c>
      <c r="E115" s="342" cm="1">
        <f t="array" ref="E115">IFERROR(_xlfn.XLOOKUP(B115&amp;C115&amp;D115,'2.1 Electricidad'!B:B&amp;'2.1 Electricidad'!C:C&amp;'2.1 Electricidad'!D:D,'2.1 Electricidad'!E:E,"No")*$D$5,"PENDIENTE")</f>
        <v>34679.750189999999</v>
      </c>
      <c r="F115" s="109" t="str">
        <f t="shared" si="1"/>
        <v>kgCO2e/GWh</v>
      </c>
      <c r="G115" s="402" t="s">
        <v>1452</v>
      </c>
    </row>
    <row r="116" spans="2:7">
      <c r="B116" s="72" t="s">
        <v>207</v>
      </c>
      <c r="C116" s="72">
        <v>2016</v>
      </c>
      <c r="D116" s="72" t="s">
        <v>202</v>
      </c>
      <c r="E116" s="342" cm="1">
        <f t="array" ref="E116">IFERROR(_xlfn.XLOOKUP(B116&amp;C116&amp;D116,'2.1 Electricidad'!B:B&amp;'2.1 Electricidad'!C:C&amp;'2.1 Electricidad'!D:D,'2.1 Electricidad'!E:E,"No")*$D$5,"PENDIENTE")</f>
        <v>3.4679750190000004E-2</v>
      </c>
      <c r="F116" s="109" t="str">
        <f t="shared" si="1"/>
        <v>kgCO2e/kWh</v>
      </c>
      <c r="G116" s="402" t="s">
        <v>1452</v>
      </c>
    </row>
    <row r="117" spans="2:7">
      <c r="B117" s="72" t="s">
        <v>207</v>
      </c>
      <c r="C117" s="72">
        <v>2017</v>
      </c>
      <c r="D117" s="72" t="s">
        <v>200</v>
      </c>
      <c r="E117" s="471" cm="1">
        <f t="array" ref="E117">IFERROR(_xlfn.XLOOKUP(B117&amp;C117&amp;D117,'2.1 Electricidad'!B:B&amp;'2.1 Electricidad'!C:C&amp;'2.1 Electricidad'!D:D,'2.1 Electricidad'!E:E,"No")*$D$5,"PENDIENTE")</f>
        <v>31.753749810000002</v>
      </c>
      <c r="F117" s="109" t="str">
        <f t="shared" si="1"/>
        <v>kgCO2e/MWh</v>
      </c>
      <c r="G117" s="402" t="s">
        <v>1452</v>
      </c>
    </row>
    <row r="118" spans="2:7">
      <c r="B118" s="72" t="s">
        <v>207</v>
      </c>
      <c r="C118" s="72">
        <v>2017</v>
      </c>
      <c r="D118" s="72" t="s">
        <v>201</v>
      </c>
      <c r="E118" s="342" cm="1">
        <f t="array" ref="E118">IFERROR(_xlfn.XLOOKUP(B118&amp;C118&amp;D118,'2.1 Electricidad'!B:B&amp;'2.1 Electricidad'!C:C&amp;'2.1 Electricidad'!D:D,'2.1 Electricidad'!E:E,"No")*$D$5,"PENDIENTE")</f>
        <v>31753.749810000005</v>
      </c>
      <c r="F118" s="109" t="str">
        <f t="shared" si="1"/>
        <v>kgCO2e/GWh</v>
      </c>
      <c r="G118" s="402" t="s">
        <v>1452</v>
      </c>
    </row>
    <row r="119" spans="2:7">
      <c r="B119" s="72" t="s">
        <v>207</v>
      </c>
      <c r="C119" s="72">
        <v>2017</v>
      </c>
      <c r="D119" s="72" t="s">
        <v>202</v>
      </c>
      <c r="E119" s="342" cm="1">
        <f t="array" ref="E119">IFERROR(_xlfn.XLOOKUP(B119&amp;C119&amp;D119,'2.1 Electricidad'!B:B&amp;'2.1 Electricidad'!C:C&amp;'2.1 Electricidad'!D:D,'2.1 Electricidad'!E:E,"No")*$D$5,"PENDIENTE")</f>
        <v>3.1753749810000009E-2</v>
      </c>
      <c r="F119" s="109" t="str">
        <f t="shared" si="1"/>
        <v>kgCO2e/kWh</v>
      </c>
      <c r="G119" s="402" t="s">
        <v>1452</v>
      </c>
    </row>
    <row r="120" spans="2:7">
      <c r="B120" s="72" t="s">
        <v>207</v>
      </c>
      <c r="C120" s="72">
        <v>2018</v>
      </c>
      <c r="D120" s="72" t="s">
        <v>200</v>
      </c>
      <c r="E120" s="471" cm="1">
        <f t="array" ref="E120">IFERROR(_xlfn.XLOOKUP(B120&amp;C120&amp;D120,'2.1 Electricidad'!B:B&amp;'2.1 Electricidad'!C:C&amp;'2.1 Electricidad'!D:D,'2.1 Electricidad'!E:E,"No")*$D$5,"PENDIENTE")</f>
        <v>31.639749998100005</v>
      </c>
      <c r="F120" s="109" t="str">
        <f t="shared" si="1"/>
        <v>kgCO2e/MWh</v>
      </c>
      <c r="G120" s="402" t="s">
        <v>1452</v>
      </c>
    </row>
    <row r="121" spans="2:7">
      <c r="B121" s="72" t="s">
        <v>207</v>
      </c>
      <c r="C121" s="72">
        <v>2018</v>
      </c>
      <c r="D121" s="72" t="s">
        <v>201</v>
      </c>
      <c r="E121" s="342" cm="1">
        <f t="array" ref="E121">IFERROR(_xlfn.XLOOKUP(B121&amp;C121&amp;D121,'2.1 Electricidad'!B:B&amp;'2.1 Electricidad'!C:C&amp;'2.1 Electricidad'!D:D,'2.1 Electricidad'!E:E,"No")*$D$5,"PENDIENTE")</f>
        <v>31639.749998100004</v>
      </c>
      <c r="F121" s="109" t="str">
        <f t="shared" si="1"/>
        <v>kgCO2e/GWh</v>
      </c>
      <c r="G121" s="402" t="s">
        <v>1452</v>
      </c>
    </row>
    <row r="122" spans="2:7">
      <c r="B122" s="72" t="s">
        <v>207</v>
      </c>
      <c r="C122" s="72">
        <v>2018</v>
      </c>
      <c r="D122" s="72" t="s">
        <v>202</v>
      </c>
      <c r="E122" s="342" cm="1">
        <f t="array" ref="E122">IFERROR(_xlfn.XLOOKUP(B122&amp;C122&amp;D122,'2.1 Electricidad'!B:B&amp;'2.1 Electricidad'!C:C&amp;'2.1 Electricidad'!D:D,'2.1 Electricidad'!E:E,"No")*$D$5,"PENDIENTE")</f>
        <v>3.16397499981E-2</v>
      </c>
      <c r="F122" s="109" t="str">
        <f t="shared" si="1"/>
        <v>kgCO2e/kWh</v>
      </c>
      <c r="G122" s="402" t="s">
        <v>1452</v>
      </c>
    </row>
    <row r="123" spans="2:7">
      <c r="B123" s="72" t="s">
        <v>207</v>
      </c>
      <c r="C123" s="72">
        <v>2019</v>
      </c>
      <c r="D123" s="72" t="s">
        <v>200</v>
      </c>
      <c r="E123" s="471" cm="1">
        <f t="array" ref="E123">IFERROR(_xlfn.XLOOKUP(B123&amp;C123&amp;D123,'2.1 Electricidad'!B:B&amp;'2.1 Electricidad'!C:C&amp;'2.1 Electricidad'!D:D,'2.1 Electricidad'!E:E,"No")*$D$5,"PENDIENTE")</f>
        <v>29.487999998100005</v>
      </c>
      <c r="F123" s="109" t="str">
        <f t="shared" si="1"/>
        <v>kgCO2e/MWh</v>
      </c>
      <c r="G123" s="402" t="s">
        <v>1452</v>
      </c>
    </row>
    <row r="124" spans="2:7">
      <c r="B124" s="72" t="s">
        <v>207</v>
      </c>
      <c r="C124" s="72">
        <v>2019</v>
      </c>
      <c r="D124" s="72" t="s">
        <v>201</v>
      </c>
      <c r="E124" s="342" cm="1">
        <f t="array" ref="E124">IFERROR(_xlfn.XLOOKUP(B124&amp;C124&amp;D124,'2.1 Electricidad'!B:B&amp;'2.1 Electricidad'!C:C&amp;'2.1 Electricidad'!D:D,'2.1 Electricidad'!E:E,"No")*$D$5,"PENDIENTE")</f>
        <v>29487.999998100004</v>
      </c>
      <c r="F124" s="109" t="str">
        <f t="shared" si="1"/>
        <v>kgCO2e/GWh</v>
      </c>
      <c r="G124" s="402" t="s">
        <v>1452</v>
      </c>
    </row>
    <row r="125" spans="2:7">
      <c r="B125" s="72" t="s">
        <v>207</v>
      </c>
      <c r="C125" s="72">
        <v>2019</v>
      </c>
      <c r="D125" s="72" t="s">
        <v>202</v>
      </c>
      <c r="E125" s="342" cm="1">
        <f t="array" ref="E125">IFERROR(_xlfn.XLOOKUP(B125&amp;C125&amp;D125,'2.1 Electricidad'!B:B&amp;'2.1 Electricidad'!C:C&amp;'2.1 Electricidad'!D:D,'2.1 Electricidad'!E:E,"No")*$D$5,"PENDIENTE")</f>
        <v>2.9487999998100006E-2</v>
      </c>
      <c r="F125" s="109" t="str">
        <f t="shared" si="1"/>
        <v>kgCO2e/kWh</v>
      </c>
      <c r="G125" s="402" t="s">
        <v>1452</v>
      </c>
    </row>
    <row r="126" spans="2:7">
      <c r="B126" s="72" t="s">
        <v>207</v>
      </c>
      <c r="C126" s="72">
        <v>2020</v>
      </c>
      <c r="D126" s="72" t="s">
        <v>200</v>
      </c>
      <c r="E126" s="471" cm="1">
        <f t="array" ref="E126">IFERROR(_xlfn.XLOOKUP(B126&amp;C126&amp;D126,'2.1 Electricidad'!B:B&amp;'2.1 Electricidad'!C:C&amp;'2.1 Electricidad'!D:D,'2.1 Electricidad'!E:E,"No")*$D$5,"PENDIENTE")</f>
        <v>27.2555000019</v>
      </c>
      <c r="F126" s="109" t="str">
        <f t="shared" si="1"/>
        <v>kgCO2e/MWh</v>
      </c>
      <c r="G126" s="402" t="s">
        <v>1452</v>
      </c>
    </row>
    <row r="127" spans="2:7">
      <c r="B127" s="72" t="s">
        <v>207</v>
      </c>
      <c r="C127" s="72">
        <v>2020</v>
      </c>
      <c r="D127" s="72" t="s">
        <v>201</v>
      </c>
      <c r="E127" s="342" cm="1">
        <f t="array" ref="E127">IFERROR(_xlfn.XLOOKUP(B127&amp;C127&amp;D127,'2.1 Electricidad'!B:B&amp;'2.1 Electricidad'!C:C&amp;'2.1 Electricidad'!D:D,'2.1 Electricidad'!E:E,"No")*$D$5,"PENDIENTE")</f>
        <v>27255.5000019</v>
      </c>
      <c r="F127" s="109" t="str">
        <f t="shared" si="1"/>
        <v>kgCO2e/GWh</v>
      </c>
      <c r="G127" s="402" t="s">
        <v>1452</v>
      </c>
    </row>
    <row r="128" spans="2:7">
      <c r="B128" s="72" t="s">
        <v>207</v>
      </c>
      <c r="C128" s="72">
        <v>2020</v>
      </c>
      <c r="D128" s="72" t="s">
        <v>202</v>
      </c>
      <c r="E128" s="342" cm="1">
        <f t="array" ref="E128">IFERROR(_xlfn.XLOOKUP(B128&amp;C128&amp;D128,'2.1 Electricidad'!B:B&amp;'2.1 Electricidad'!C:C&amp;'2.1 Electricidad'!D:D,'2.1 Electricidad'!E:E,"No")*$D$5,"PENDIENTE")</f>
        <v>2.7255500001900003E-2</v>
      </c>
      <c r="F128" s="109" t="str">
        <f t="shared" si="1"/>
        <v>kgCO2e/kWh</v>
      </c>
      <c r="G128" s="402" t="s">
        <v>1452</v>
      </c>
    </row>
    <row r="129" spans="2:7">
      <c r="B129" s="72" t="s">
        <v>207</v>
      </c>
      <c r="C129" s="72">
        <v>2021</v>
      </c>
      <c r="D129" s="72" t="s">
        <v>200</v>
      </c>
      <c r="E129" s="471" cm="1">
        <f t="array" ref="E129">IFERROR(_xlfn.XLOOKUP(B129&amp;C129&amp;D129,'2.1 Electricidad'!B:B&amp;'2.1 Electricidad'!C:C&amp;'2.1 Electricidad'!D:D,'2.1 Electricidad'!E:E,"No")*$D$5,"PENDIENTE")</f>
        <v>31.649250000000002</v>
      </c>
      <c r="F129" s="109" t="str">
        <f t="shared" si="1"/>
        <v>kgCO2e/MWh</v>
      </c>
      <c r="G129" s="402" t="s">
        <v>1452</v>
      </c>
    </row>
    <row r="130" spans="2:7">
      <c r="B130" s="72" t="s">
        <v>207</v>
      </c>
      <c r="C130" s="72">
        <v>2021</v>
      </c>
      <c r="D130" s="72" t="s">
        <v>201</v>
      </c>
      <c r="E130" s="342" cm="1">
        <f t="array" ref="E130">IFERROR(_xlfn.XLOOKUP(B130&amp;C130&amp;D130,'2.1 Electricidad'!B:B&amp;'2.1 Electricidad'!C:C&amp;'2.1 Electricidad'!D:D,'2.1 Electricidad'!E:E,"No")*$D$5,"PENDIENTE")</f>
        <v>31649.25</v>
      </c>
      <c r="F130" s="109" t="str">
        <f t="shared" si="1"/>
        <v>kgCO2e/GWh</v>
      </c>
      <c r="G130" s="402" t="s">
        <v>1452</v>
      </c>
    </row>
    <row r="131" spans="2:7">
      <c r="B131" s="72" t="s">
        <v>207</v>
      </c>
      <c r="C131" s="72">
        <v>2021</v>
      </c>
      <c r="D131" s="72" t="s">
        <v>202</v>
      </c>
      <c r="E131" s="342" cm="1">
        <f t="array" ref="E131">IFERROR(_xlfn.XLOOKUP(B131&amp;C131&amp;D131,'2.1 Electricidad'!B:B&amp;'2.1 Electricidad'!C:C&amp;'2.1 Electricidad'!D:D,'2.1 Electricidad'!E:E,"No")*$D$5,"PENDIENTE")</f>
        <v>3.1649250000000004E-2</v>
      </c>
      <c r="F131" s="109" t="str">
        <f t="shared" si="1"/>
        <v>kgCO2e/kWh</v>
      </c>
      <c r="G131" s="402" t="s">
        <v>1452</v>
      </c>
    </row>
    <row r="132" spans="2:7">
      <c r="B132" s="72" t="s">
        <v>207</v>
      </c>
      <c r="C132" s="72">
        <v>2022</v>
      </c>
      <c r="D132" s="72" t="s">
        <v>200</v>
      </c>
      <c r="E132" s="471" cm="1">
        <f t="array" ref="E132">IFERROR(_xlfn.XLOOKUP(B132&amp;C132&amp;D132,'2.1 Electricidad'!B:B&amp;'2.1 Electricidad'!C:C&amp;'2.1 Electricidad'!D:D,'2.1 Electricidad'!E:E,"No")*$D$5,"PENDIENTE")</f>
        <v>35.629749999810002</v>
      </c>
      <c r="F132" s="109" t="str">
        <f t="shared" si="1"/>
        <v>kgCO2e/MWh</v>
      </c>
      <c r="G132" s="402" t="s">
        <v>1452</v>
      </c>
    </row>
    <row r="133" spans="2:7">
      <c r="B133" s="72" t="s">
        <v>207</v>
      </c>
      <c r="C133" s="72">
        <v>2022</v>
      </c>
      <c r="D133" s="72" t="s">
        <v>201</v>
      </c>
      <c r="E133" s="342" cm="1">
        <f t="array" ref="E133">IFERROR(_xlfn.XLOOKUP(B133&amp;C133&amp;D133,'2.1 Electricidad'!B:B&amp;'2.1 Electricidad'!C:C&amp;'2.1 Electricidad'!D:D,'2.1 Electricidad'!E:E,"No")*$D$5,"PENDIENTE")</f>
        <v>35629.749999809996</v>
      </c>
      <c r="F133" s="109" t="str">
        <f t="shared" si="1"/>
        <v>kgCO2e/GWh</v>
      </c>
      <c r="G133" s="402" t="s">
        <v>1452</v>
      </c>
    </row>
    <row r="134" spans="2:7">
      <c r="B134" s="72" t="s">
        <v>207</v>
      </c>
      <c r="C134" s="72">
        <v>2022</v>
      </c>
      <c r="D134" s="72" t="s">
        <v>202</v>
      </c>
      <c r="E134" s="342" cm="1">
        <f t="array" ref="E134">IFERROR(_xlfn.XLOOKUP(B134&amp;C134&amp;D134,'2.1 Electricidad'!B:B&amp;'2.1 Electricidad'!C:C&amp;'2.1 Electricidad'!D:D,'2.1 Electricidad'!E:E,"No")*$D$5,"PENDIENTE")</f>
        <v>3.5629749999810001E-2</v>
      </c>
      <c r="F134" s="109" t="str">
        <f t="shared" si="1"/>
        <v>kgCO2e/kWh</v>
      </c>
      <c r="G134" s="402" t="s">
        <v>1452</v>
      </c>
    </row>
    <row r="135" spans="2:7">
      <c r="B135" s="72" t="s">
        <v>207</v>
      </c>
      <c r="C135" s="72">
        <v>2023</v>
      </c>
      <c r="D135" s="72" t="s">
        <v>200</v>
      </c>
      <c r="E135" s="471" cm="1">
        <f t="array" ref="E135">IFERROR(_xlfn.XLOOKUP(B135&amp;C135&amp;D135,'2.1 Electricidad'!B:B&amp;'2.1 Electricidad'!C:C&amp;'2.1 Electricidad'!D:D,'2.1 Electricidad'!E:E,"No")*$D$5,"PENDIENTE")</f>
        <v>35.577500000190007</v>
      </c>
      <c r="F135" s="109" t="str">
        <f t="shared" si="1"/>
        <v>kgCO2e/MWh</v>
      </c>
      <c r="G135" s="402" t="s">
        <v>1452</v>
      </c>
    </row>
    <row r="136" spans="2:7">
      <c r="B136" s="72" t="s">
        <v>207</v>
      </c>
      <c r="C136" s="72">
        <v>2023</v>
      </c>
      <c r="D136" s="72" t="s">
        <v>201</v>
      </c>
      <c r="E136" s="342" cm="1">
        <f t="array" ref="E136">IFERROR(_xlfn.XLOOKUP(B136&amp;C136&amp;D136,'2.1 Electricidad'!B:B&amp;'2.1 Electricidad'!C:C&amp;'2.1 Electricidad'!D:D,'2.1 Electricidad'!E:E,"No")*$D$5,"PENDIENTE")</f>
        <v>35577.500000190004</v>
      </c>
      <c r="F136" s="109" t="str">
        <f t="shared" si="1"/>
        <v>kgCO2e/GWh</v>
      </c>
      <c r="G136" s="402" t="s">
        <v>1452</v>
      </c>
    </row>
    <row r="137" spans="2:7">
      <c r="B137" s="72" t="s">
        <v>207</v>
      </c>
      <c r="C137" s="72">
        <v>2023</v>
      </c>
      <c r="D137" s="72" t="s">
        <v>202</v>
      </c>
      <c r="E137" s="342" cm="1">
        <f t="array" ref="E137">IFERROR(_xlfn.XLOOKUP(B137&amp;C137&amp;D137,'2.1 Electricidad'!B:B&amp;'2.1 Electricidad'!C:C&amp;'2.1 Electricidad'!D:D,'2.1 Electricidad'!E:E,"No")*$D$5,"PENDIENTE")</f>
        <v>3.5577500000190006E-2</v>
      </c>
      <c r="F137" s="109" t="str">
        <f t="shared" si="1"/>
        <v>kgCO2e/kWh</v>
      </c>
      <c r="G137" s="402" t="s">
        <v>1452</v>
      </c>
    </row>
    <row r="138" spans="2:7">
      <c r="B138" s="72" t="s">
        <v>207</v>
      </c>
      <c r="C138" s="72">
        <v>2024</v>
      </c>
      <c r="D138" s="72" t="s">
        <v>200</v>
      </c>
      <c r="E138" s="472" t="str" cm="1">
        <f t="array" ref="E138">IFERROR(_xlfn.XLOOKUP(B138&amp;C138&amp;D138,'2.1 Electricidad'!B:B&amp;'2.1 Electricidad'!C:C&amp;'2.1 Electricidad'!D:D,'2.1 Electricidad'!E:E,"No")*$D$5,"PENDIENTE")</f>
        <v>PENDIENTE</v>
      </c>
      <c r="F138" s="109" t="str">
        <f t="shared" si="1"/>
        <v>kgCO2e/MWh</v>
      </c>
      <c r="G138" s="402" t="s">
        <v>1452</v>
      </c>
    </row>
    <row r="139" spans="2:7">
      <c r="B139" s="72" t="s">
        <v>207</v>
      </c>
      <c r="C139" s="72">
        <v>2024</v>
      </c>
      <c r="D139" s="72" t="s">
        <v>201</v>
      </c>
      <c r="E139" s="343" t="str" cm="1">
        <f t="array" ref="E139">IFERROR(_xlfn.XLOOKUP(B139&amp;C139&amp;D139,'2.1 Electricidad'!B:B&amp;'2.1 Electricidad'!C:C&amp;'2.1 Electricidad'!D:D,'2.1 Electricidad'!E:E,"No")*$D$5,"PENDIENTE")</f>
        <v>PENDIENTE</v>
      </c>
      <c r="F139" s="109" t="str">
        <f t="shared" si="1"/>
        <v>kgCO2e/GWh</v>
      </c>
      <c r="G139" s="402" t="s">
        <v>1452</v>
      </c>
    </row>
    <row r="140" spans="2:7">
      <c r="B140" s="72" t="s">
        <v>207</v>
      </c>
      <c r="C140" s="72">
        <v>2024</v>
      </c>
      <c r="D140" s="72" t="s">
        <v>202</v>
      </c>
      <c r="E140" s="343" t="str" cm="1">
        <f t="array" ref="E140">IFERROR(_xlfn.XLOOKUP(B140&amp;C140&amp;D140,'2.1 Electricidad'!B:B&amp;'2.1 Electricidad'!C:C&amp;'2.1 Electricidad'!D:D,'2.1 Electricidad'!E:E,"No")*$D$5,"PENDIENTE")</f>
        <v>PENDIENTE</v>
      </c>
      <c r="F140" s="109" t="str">
        <f t="shared" si="1"/>
        <v>kgCO2e/kWh</v>
      </c>
      <c r="G140" s="402" t="s">
        <v>1452</v>
      </c>
    </row>
  </sheetData>
  <sheetProtection algorithmName="SHA-512" hashValue="DT7uyZA7qDVC3ndDp8YkEO/fU0HCWu3TRf+0UCf+lOOi2zPkHcucQ8k+MfJ1ifjtWZpU1yF8MAhY8NEoWmiS5Q==" saltValue="R6mcxA5YQZpY7Gkvy+7/BQ==" spinCount="100000" sheet="1" objects="1" scenarios="1" autoFilter="0"/>
  <autoFilter ref="B11:G140" xr:uid="{00000000-0001-0000-1A00-000000000000}"/>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B2:AF24"/>
  <sheetViews>
    <sheetView showGridLines="0" workbookViewId="0"/>
  </sheetViews>
  <sheetFormatPr baseColWidth="10" defaultColWidth="11.44140625" defaultRowHeight="14.4"/>
  <cols>
    <col min="1" max="1" width="4.5546875" customWidth="1"/>
    <col min="2" max="2" width="29.109375" bestFit="1" customWidth="1"/>
    <col min="3" max="3" width="22.5546875" bestFit="1" customWidth="1"/>
    <col min="4" max="4" width="25" bestFit="1" customWidth="1"/>
    <col min="5" max="5" width="32.5546875" bestFit="1" customWidth="1"/>
    <col min="6" max="7" width="32.5546875" customWidth="1"/>
    <col min="27" max="27" width="34" bestFit="1" customWidth="1"/>
    <col min="28" max="28" width="13" bestFit="1" customWidth="1"/>
    <col min="29" max="29" width="25.88671875" customWidth="1"/>
    <col min="30" max="30" width="34.33203125" bestFit="1" customWidth="1"/>
    <col min="31" max="31" width="13.6640625" bestFit="1" customWidth="1"/>
    <col min="32" max="32" width="37.33203125" bestFit="1" customWidth="1"/>
  </cols>
  <sheetData>
    <row r="2" spans="2:32">
      <c r="B2" s="61" t="s">
        <v>343</v>
      </c>
      <c r="C2" s="61" t="s">
        <v>344</v>
      </c>
      <c r="D2" s="61" t="s">
        <v>345</v>
      </c>
      <c r="E2" s="61" t="s">
        <v>346</v>
      </c>
    </row>
    <row r="3" spans="2:32">
      <c r="B3" s="62" t="s">
        <v>347</v>
      </c>
      <c r="C3" s="63">
        <v>1</v>
      </c>
      <c r="D3" s="64" t="s">
        <v>102</v>
      </c>
      <c r="E3" s="64" t="s">
        <v>348</v>
      </c>
    </row>
    <row r="4" spans="2:32">
      <c r="B4" s="62" t="s">
        <v>156</v>
      </c>
      <c r="C4" s="63">
        <v>28</v>
      </c>
      <c r="D4" s="64" t="s">
        <v>102</v>
      </c>
      <c r="E4" s="64" t="s">
        <v>348</v>
      </c>
    </row>
    <row r="5" spans="2:32">
      <c r="B5" s="62" t="s">
        <v>349</v>
      </c>
      <c r="C5" s="63">
        <v>265</v>
      </c>
      <c r="D5" s="64" t="s">
        <v>102</v>
      </c>
      <c r="E5" s="64" t="s">
        <v>348</v>
      </c>
    </row>
    <row r="6" spans="2:32">
      <c r="B6" s="65" t="s">
        <v>350</v>
      </c>
      <c r="C6" s="63">
        <v>4.1867999999999999</v>
      </c>
      <c r="D6" s="413" t="s">
        <v>351</v>
      </c>
      <c r="E6" s="413"/>
    </row>
    <row r="7" spans="2:32">
      <c r="B7" s="68" t="s">
        <v>353</v>
      </c>
      <c r="C7" s="69">
        <v>1000000000</v>
      </c>
      <c r="D7" s="413" t="s">
        <v>351</v>
      </c>
      <c r="E7" s="413"/>
    </row>
    <row r="8" spans="2:32">
      <c r="B8" s="66" t="s">
        <v>354</v>
      </c>
      <c r="C8" s="67">
        <v>0.95</v>
      </c>
      <c r="D8" s="64" t="s">
        <v>102</v>
      </c>
      <c r="E8" s="64" t="s">
        <v>355</v>
      </c>
    </row>
    <row r="9" spans="2:32">
      <c r="B9" s="66" t="s">
        <v>356</v>
      </c>
      <c r="C9" s="67">
        <v>0.9</v>
      </c>
      <c r="D9" s="64" t="s">
        <v>102</v>
      </c>
      <c r="E9" s="64" t="s">
        <v>357</v>
      </c>
    </row>
    <row r="11" spans="2:32">
      <c r="B11" s="1" t="s">
        <v>358</v>
      </c>
    </row>
    <row r="12" spans="2:32">
      <c r="B12" s="1" t="s">
        <v>1453</v>
      </c>
    </row>
    <row r="13" spans="2:32">
      <c r="B13" s="1" t="s">
        <v>1454</v>
      </c>
      <c r="H13" s="414"/>
    </row>
    <row r="14" spans="2:32">
      <c r="T14" s="519" t="s">
        <v>360</v>
      </c>
      <c r="U14" s="519"/>
      <c r="V14" s="519"/>
      <c r="W14" s="519"/>
      <c r="X14" s="519" t="s">
        <v>361</v>
      </c>
      <c r="Y14" s="519"/>
      <c r="Z14" s="519"/>
      <c r="AA14" s="519"/>
      <c r="AB14" s="519"/>
      <c r="AC14" s="519"/>
    </row>
    <row r="15" spans="2:32" ht="57.6">
      <c r="B15" s="71" t="s">
        <v>362</v>
      </c>
      <c r="C15" s="71" t="s">
        <v>363</v>
      </c>
      <c r="D15" s="71" t="s">
        <v>364</v>
      </c>
      <c r="E15" s="71" t="s">
        <v>365</v>
      </c>
      <c r="F15" s="71" t="s">
        <v>345</v>
      </c>
      <c r="G15" s="71" t="s">
        <v>366</v>
      </c>
      <c r="H15" s="74" t="s">
        <v>367</v>
      </c>
      <c r="I15" s="74" t="s">
        <v>368</v>
      </c>
      <c r="J15" s="74" t="s">
        <v>369</v>
      </c>
      <c r="K15" s="75" t="s">
        <v>370</v>
      </c>
      <c r="L15" s="75" t="s">
        <v>345</v>
      </c>
      <c r="M15" s="75" t="s">
        <v>371</v>
      </c>
      <c r="N15" s="75" t="s">
        <v>372</v>
      </c>
      <c r="O15" s="75" t="s">
        <v>373</v>
      </c>
      <c r="P15" s="75" t="s">
        <v>374</v>
      </c>
      <c r="Q15" s="71" t="s">
        <v>375</v>
      </c>
      <c r="R15" s="71" t="s">
        <v>376</v>
      </c>
      <c r="S15" s="71" t="s">
        <v>345</v>
      </c>
      <c r="T15" s="71" t="s">
        <v>377</v>
      </c>
      <c r="U15" s="71" t="s">
        <v>378</v>
      </c>
      <c r="V15" s="71" t="s">
        <v>379</v>
      </c>
      <c r="W15" s="71" t="s">
        <v>345</v>
      </c>
      <c r="X15" s="71" t="s">
        <v>377</v>
      </c>
      <c r="Y15" s="71" t="s">
        <v>378</v>
      </c>
      <c r="Z15" s="71" t="s">
        <v>379</v>
      </c>
      <c r="AA15" s="71" t="s">
        <v>345</v>
      </c>
      <c r="AB15" s="71" t="s">
        <v>380</v>
      </c>
      <c r="AC15" s="71" t="s">
        <v>345</v>
      </c>
      <c r="AD15" s="74" t="s">
        <v>96</v>
      </c>
      <c r="AE15" s="75" t="s">
        <v>97</v>
      </c>
      <c r="AF15" s="99" t="s">
        <v>381</v>
      </c>
    </row>
    <row r="16" spans="2:32">
      <c r="B16" s="402" t="s">
        <v>118</v>
      </c>
      <c r="C16" s="72" t="s">
        <v>415</v>
      </c>
      <c r="D16" s="72" t="s">
        <v>416</v>
      </c>
      <c r="E16" s="72" t="s">
        <v>416</v>
      </c>
      <c r="F16" s="96" t="s">
        <v>103</v>
      </c>
      <c r="G16" s="79" t="s">
        <v>383</v>
      </c>
      <c r="H16" s="113">
        <f>'2.3 V2 CH2 T2.2'!$C$34</f>
        <v>74100</v>
      </c>
      <c r="I16" s="327">
        <f>'2.3 V2 CH2 T2.2'!$G$34</f>
        <v>3</v>
      </c>
      <c r="J16" s="327">
        <f>'2.3 V2 CH2 T2.2'!$J$34:$K$34</f>
        <v>0.6</v>
      </c>
      <c r="K16" s="76">
        <f>'1.1 y 1.2CUADROA2 - BNE 2020-21'!$C$20</f>
        <v>0.84</v>
      </c>
      <c r="L16" s="72" t="s">
        <v>384</v>
      </c>
      <c r="M16" s="102">
        <f>'1.1 y 1.2CUADROA2 - BNE 2020-21'!D$20</f>
        <v>10900</v>
      </c>
      <c r="N16" s="109" t="str">
        <f>'1.1 y 1.2CUADROA2 - BNE 2020-21'!E$20</f>
        <v>kcal/kg</v>
      </c>
      <c r="O16" s="102">
        <f>IF(G16="Gaseoso", M16*$C$9, M16*$C$8)</f>
        <v>10355</v>
      </c>
      <c r="P16" s="109" t="str">
        <f>N16</f>
        <v>kcal/kg</v>
      </c>
      <c r="Q16" s="72" t="s">
        <v>385</v>
      </c>
      <c r="R16" s="103">
        <f t="shared" ref="R16:R24" si="0">O16*$C$6/$C$7*IF(Q16="Sí",K16*1000,1)</f>
        <v>3.6417623759999997E-2</v>
      </c>
      <c r="S16" s="103" t="str">
        <f>IF(Q16="Sí","TJ/m3", IF(N16="kcal/m3", "TJ/m3","TJ/kg"))</f>
        <v>TJ/m3</v>
      </c>
      <c r="T16" s="103">
        <f>H16*$R16</f>
        <v>2698.5459206159999</v>
      </c>
      <c r="U16" s="103">
        <f>I16*$R16</f>
        <v>0.10925287128</v>
      </c>
      <c r="V16" s="103">
        <f>J16*$R16</f>
        <v>2.1850574255999997E-2</v>
      </c>
      <c r="W16" s="103" t="str">
        <f>IF(S16="TJ/m3", "kg GEI/m3", "kg GEI/kg")</f>
        <v>kg GEI/m3</v>
      </c>
      <c r="X16" s="103">
        <f>T16*$C$3</f>
        <v>2698.5459206159999</v>
      </c>
      <c r="Y16" s="103">
        <f>U16*$C$4</f>
        <v>3.0590803958399997</v>
      </c>
      <c r="Z16" s="103">
        <f>V16*$C$5</f>
        <v>5.790402177839999</v>
      </c>
      <c r="AA16" s="103" t="str">
        <f>IF(S16="TJ/m3", "kg CO2e/m3", "kg CO2e/kg")</f>
        <v>kg CO2e/m3</v>
      </c>
      <c r="AB16" s="103">
        <f>SUM(X16:Z16)*IF(AND(F16="gramos",S16="TJ/m3")=TRUE(),1/(K16*1000000),IF(AND(F16="gramos",S16="TJ/kg")=TRUE(),1/(1000),IF(AND(F16="kilogramos",S16="TJ/m3")=TRUE(),1/(K16*1000),IF(AND(F16="toneladas",S16="TJ/m3")=TRUE(),1/K16,IF(AND(F45="toneladas",S16="TJ/kg")=TRUE(),1000,IF(AND(S16="TJ/m3",F16="litros")=TRUE(),1/1000,IF(AND(S16="TJ/kg",F16="litros")=TRUE(),K16/1000,1)))))))</f>
        <v>2707.3954031896797</v>
      </c>
      <c r="AC16" s="103" t="str">
        <f>"kgCO2e/"&amp;F16</f>
        <v>kgCO2e/metros cúbicos</v>
      </c>
      <c r="AD16" s="402" t="s">
        <v>1455</v>
      </c>
      <c r="AE16" s="72" t="s">
        <v>387</v>
      </c>
      <c r="AF16" s="402" t="s">
        <v>102</v>
      </c>
    </row>
    <row r="17" spans="2:32">
      <c r="B17" s="402" t="s">
        <v>118</v>
      </c>
      <c r="C17" s="72" t="s">
        <v>415</v>
      </c>
      <c r="D17" s="72" t="s">
        <v>416</v>
      </c>
      <c r="E17" s="72" t="s">
        <v>416</v>
      </c>
      <c r="F17" s="96" t="s">
        <v>104</v>
      </c>
      <c r="G17" s="79" t="s">
        <v>383</v>
      </c>
      <c r="H17" s="113">
        <f>'2.3 V2 CH2 T2.2'!$C$34</f>
        <v>74100</v>
      </c>
      <c r="I17" s="327">
        <f>'2.3 V2 CH2 T2.2'!$G$34</f>
        <v>3</v>
      </c>
      <c r="J17" s="327">
        <f>'2.3 V2 CH2 T2.2'!$J$34:$K$34</f>
        <v>0.6</v>
      </c>
      <c r="K17" s="76">
        <f>'1.1 y 1.2CUADROA2 - BNE 2020-21'!$C$20</f>
        <v>0.84</v>
      </c>
      <c r="L17" s="72" t="s">
        <v>384</v>
      </c>
      <c r="M17" s="102">
        <f>'1.1 y 1.2CUADROA2 - BNE 2020-21'!D$20</f>
        <v>10900</v>
      </c>
      <c r="N17" s="109" t="str">
        <f>'1.1 y 1.2CUADROA2 - BNE 2020-21'!E$20</f>
        <v>kcal/kg</v>
      </c>
      <c r="O17" s="102">
        <f t="shared" ref="O17:O24" si="1">IF(G17="Gaseoso", M17*$C$9, M17*$C$8)</f>
        <v>10355</v>
      </c>
      <c r="P17" s="109" t="str">
        <f t="shared" ref="P17:P24" si="2">N17</f>
        <v>kcal/kg</v>
      </c>
      <c r="Q17" s="72" t="s">
        <v>385</v>
      </c>
      <c r="R17" s="103">
        <f t="shared" si="0"/>
        <v>3.6417623759999997E-2</v>
      </c>
      <c r="S17" s="103" t="str">
        <f t="shared" ref="S17:S24" si="3">IF(Q17="Sí","TJ/m3", IF(N17="kcal/m3", "TJ/m3","TJ/kg"))</f>
        <v>TJ/m3</v>
      </c>
      <c r="T17" s="103">
        <f t="shared" ref="T17:T24" si="4">H17*$R17</f>
        <v>2698.5459206159999</v>
      </c>
      <c r="U17" s="103">
        <f>I17*$R17</f>
        <v>0.10925287128</v>
      </c>
      <c r="V17" s="103">
        <f>J17*$R17</f>
        <v>2.1850574255999997E-2</v>
      </c>
      <c r="W17" s="103" t="str">
        <f t="shared" ref="W17:W24" si="5">IF(S17="TJ/m3", "kg GEI/m3", "kg GEI/kg")</f>
        <v>kg GEI/m3</v>
      </c>
      <c r="X17" s="103">
        <f t="shared" ref="X17:X24" si="6">T17*$C$3</f>
        <v>2698.5459206159999</v>
      </c>
      <c r="Y17" s="103">
        <f t="shared" ref="Y17:Y24" si="7">U17*$C$4</f>
        <v>3.0590803958399997</v>
      </c>
      <c r="Z17" s="103">
        <f t="shared" ref="Z17:Z24" si="8">V17*$C$5</f>
        <v>5.790402177839999</v>
      </c>
      <c r="AA17" s="103" t="str">
        <f t="shared" ref="AA17:AA24" si="9">IF(S17="TJ/m3", "kg CO2e/m3", "kg CO2e/kg")</f>
        <v>kg CO2e/m3</v>
      </c>
      <c r="AB17" s="104">
        <f>SUM(X17:Z17)*IF(AND(F17="gramos",S17="TJ/m3")=TRUE(),1/(K17*1000000),IF(AND(F17="gramos",S17="TJ/kg")=TRUE(),1/(1000),IF(AND(F17="kilogramos",S17="TJ/m3")=TRUE(),1/(K17*1000),IF(AND(F17="toneladas",S17="TJ/m3")=TRUE(),1/K17,IF(AND(F46="toneladas",S17="TJ/kg")=TRUE(),1000,IF(AND(S17="TJ/m3",F17="litros")=TRUE(),1/1000,IF(AND(S17="TJ/kg",F17="litros")=TRUE(),K17/1000,1)))))))</f>
        <v>2.7073954031896799</v>
      </c>
      <c r="AC17" s="103" t="str">
        <f t="shared" ref="AC17:AC24" si="10">"kgCO2e/"&amp;F17</f>
        <v>kgCO2e/litros</v>
      </c>
      <c r="AD17" s="402" t="s">
        <v>1455</v>
      </c>
      <c r="AE17" s="72" t="s">
        <v>387</v>
      </c>
      <c r="AF17" s="402" t="s">
        <v>102</v>
      </c>
    </row>
    <row r="18" spans="2:32">
      <c r="B18" s="72" t="s">
        <v>114</v>
      </c>
      <c r="C18" s="72" t="s">
        <v>407</v>
      </c>
      <c r="D18" s="72" t="s">
        <v>408</v>
      </c>
      <c r="E18" s="72" t="s">
        <v>409</v>
      </c>
      <c r="F18" s="96" t="s">
        <v>103</v>
      </c>
      <c r="G18" s="79" t="s">
        <v>399</v>
      </c>
      <c r="H18" s="113">
        <f>'2.3 V2 CH2 T2.2'!$C$36</f>
        <v>63100</v>
      </c>
      <c r="I18" s="327">
        <f>'2.3 V2 CH2 T2.2'!$G$36</f>
        <v>1</v>
      </c>
      <c r="J18" s="327">
        <f>'2.3 V2 CH2 T2.2'!$J$36:$K$36</f>
        <v>0.1</v>
      </c>
      <c r="K18" s="402">
        <f>'1.1 y 1.2CUADROA2 - BNE 2020-21'!$C$15</f>
        <v>0.55000000000000004</v>
      </c>
      <c r="L18" s="72" t="s">
        <v>384</v>
      </c>
      <c r="M18" s="102">
        <f>'1.1 y 1.2CUADROA2 - BNE 2020-21'!D$15</f>
        <v>12100</v>
      </c>
      <c r="N18" s="109" t="str">
        <f>'1.1 y 1.2CUADROA2 - BNE 2020-21'!E$15</f>
        <v>kcal/kg</v>
      </c>
      <c r="O18" s="102">
        <f>IF(G18="Gaseoso", M18*$C$9, M18*$C$8)</f>
        <v>10890</v>
      </c>
      <c r="P18" s="109" t="str">
        <f t="shared" si="2"/>
        <v>kcal/kg</v>
      </c>
      <c r="Q18" s="72" t="s">
        <v>385</v>
      </c>
      <c r="R18" s="103">
        <f t="shared" si="0"/>
        <v>2.5076838600000002E-2</v>
      </c>
      <c r="S18" s="103" t="str">
        <f t="shared" si="3"/>
        <v>TJ/m3</v>
      </c>
      <c r="T18" s="103">
        <f t="shared" si="4"/>
        <v>1582.3485156600002</v>
      </c>
      <c r="U18" s="103">
        <f t="shared" ref="U18:U24" si="11">I18*$R18</f>
        <v>2.5076838600000002E-2</v>
      </c>
      <c r="V18" s="103">
        <f t="shared" ref="V18:V24" si="12">J18*$R18</f>
        <v>2.5076838600000002E-3</v>
      </c>
      <c r="W18" s="103" t="str">
        <f t="shared" si="5"/>
        <v>kg GEI/m3</v>
      </c>
      <c r="X18" s="103">
        <f t="shared" si="6"/>
        <v>1582.3485156600002</v>
      </c>
      <c r="Y18" s="103">
        <f t="shared" si="7"/>
        <v>0.70215148080000001</v>
      </c>
      <c r="Z18" s="103">
        <f t="shared" si="8"/>
        <v>0.66453622290000003</v>
      </c>
      <c r="AA18" s="103" t="str">
        <f t="shared" si="9"/>
        <v>kg CO2e/m3</v>
      </c>
      <c r="AB18" s="103">
        <f>SUM(X18:Z18)*IF(AND(F18="gramos",S18="TJ/m3")=TRUE(),1/(K18*1000000),IF(AND(F18="gramos",S18="TJ/kg")=TRUE(),1/(1000),IF(AND(F18="kilogramos",S18="TJ/m3")=TRUE(),1/(K18*1000),IF(AND(F18="toneladas",S18="TJ/m3")=TRUE(),1/K18,IF(AND(F47="toneladas",S18="TJ/kg")=TRUE(),1000,IF(AND(S18="TJ/m3",F18="litros")=TRUE(),1/1000,IF(AND(S18="TJ/kg",F18="litros")=TRUE(),K18/1000,1)))))))</f>
        <v>1583.7152033637003</v>
      </c>
      <c r="AC18" s="103" t="str">
        <f t="shared" si="10"/>
        <v>kgCO2e/metros cúbicos</v>
      </c>
      <c r="AD18" s="402" t="s">
        <v>1455</v>
      </c>
      <c r="AE18" s="72" t="s">
        <v>387</v>
      </c>
      <c r="AF18" s="402" t="s">
        <v>102</v>
      </c>
    </row>
    <row r="19" spans="2:32">
      <c r="B19" s="72" t="s">
        <v>114</v>
      </c>
      <c r="C19" s="72" t="s">
        <v>407</v>
      </c>
      <c r="D19" s="72" t="s">
        <v>408</v>
      </c>
      <c r="E19" s="72" t="s">
        <v>409</v>
      </c>
      <c r="F19" s="96" t="s">
        <v>104</v>
      </c>
      <c r="G19" s="79" t="s">
        <v>399</v>
      </c>
      <c r="H19" s="113">
        <f>'2.3 V2 CH2 T2.2'!$C$36</f>
        <v>63100</v>
      </c>
      <c r="I19" s="327">
        <f>'2.3 V2 CH2 T2.2'!$G$36</f>
        <v>1</v>
      </c>
      <c r="J19" s="327">
        <f>'2.3 V2 CH2 T2.2'!$J$36:$K$36</f>
        <v>0.1</v>
      </c>
      <c r="K19" s="402">
        <f>'1.1 y 1.2CUADROA2 - BNE 2020-21'!$C$15</f>
        <v>0.55000000000000004</v>
      </c>
      <c r="L19" s="72" t="s">
        <v>384</v>
      </c>
      <c r="M19" s="102">
        <f>'1.1 y 1.2CUADROA2 - BNE 2020-21'!D$15</f>
        <v>12100</v>
      </c>
      <c r="N19" s="109" t="str">
        <f>'1.1 y 1.2CUADROA2 - BNE 2020-21'!E$15</f>
        <v>kcal/kg</v>
      </c>
      <c r="O19" s="102">
        <f t="shared" si="1"/>
        <v>10890</v>
      </c>
      <c r="P19" s="109" t="str">
        <f t="shared" si="2"/>
        <v>kcal/kg</v>
      </c>
      <c r="Q19" s="72" t="s">
        <v>385</v>
      </c>
      <c r="R19" s="103">
        <f t="shared" si="0"/>
        <v>2.5076838600000002E-2</v>
      </c>
      <c r="S19" s="103" t="str">
        <f t="shared" si="3"/>
        <v>TJ/m3</v>
      </c>
      <c r="T19" s="103">
        <f t="shared" si="4"/>
        <v>1582.3485156600002</v>
      </c>
      <c r="U19" s="103">
        <f t="shared" si="11"/>
        <v>2.5076838600000002E-2</v>
      </c>
      <c r="V19" s="103">
        <f t="shared" si="12"/>
        <v>2.5076838600000002E-3</v>
      </c>
      <c r="W19" s="103" t="str">
        <f t="shared" si="5"/>
        <v>kg GEI/m3</v>
      </c>
      <c r="X19" s="103">
        <f t="shared" si="6"/>
        <v>1582.3485156600002</v>
      </c>
      <c r="Y19" s="103">
        <f t="shared" si="7"/>
        <v>0.70215148080000001</v>
      </c>
      <c r="Z19" s="103">
        <f t="shared" si="8"/>
        <v>0.66453622290000003</v>
      </c>
      <c r="AA19" s="103" t="str">
        <f t="shared" si="9"/>
        <v>kg CO2e/m3</v>
      </c>
      <c r="AB19" s="103">
        <f>SUM(X19:Z19)*IF(AND(F19="gramos",S19="TJ/m3")=TRUE(),1/(K19*1000000),IF(AND(F19="gramos",S19="TJ/kg")=TRUE(),1/(1000),IF(AND(F19="kilogramos",S19="TJ/m3")=TRUE(),1/(K19*1000),IF(AND(F19="toneladas",S19="TJ/m3")=TRUE(),1/K19,IF(AND(F48="toneladas",S19="TJ/kg")=TRUE(),1000,IF(AND(S19="TJ/m3",F19="litros")=TRUE(),1/1000,IF(AND(S19="TJ/kg",F19="litros")=TRUE(),K19/1000,1)))))))</f>
        <v>1.5837152033637003</v>
      </c>
      <c r="AC19" s="103" t="str">
        <f t="shared" si="10"/>
        <v>kgCO2e/litros</v>
      </c>
      <c r="AD19" s="402" t="s">
        <v>1455</v>
      </c>
      <c r="AE19" s="72" t="s">
        <v>387</v>
      </c>
      <c r="AF19" s="402" t="s">
        <v>102</v>
      </c>
    </row>
    <row r="20" spans="2:32">
      <c r="B20" s="72" t="s">
        <v>115</v>
      </c>
      <c r="C20" s="72" t="s">
        <v>402</v>
      </c>
      <c r="D20" s="72" t="s">
        <v>115</v>
      </c>
      <c r="E20" s="72" t="s">
        <v>403</v>
      </c>
      <c r="F20" s="96" t="s">
        <v>103</v>
      </c>
      <c r="G20" s="79" t="s">
        <v>399</v>
      </c>
      <c r="H20" s="113">
        <f>'2.3 V2 CH2 T2.2'!$C$9</f>
        <v>56100</v>
      </c>
      <c r="I20" s="106">
        <f>'2.3 V2 CH2 T2.2'!$F$9</f>
        <v>1</v>
      </c>
      <c r="J20" s="106">
        <f>'2.3 V2 CH2 T2.2'!$J$9:$K$9</f>
        <v>0.1</v>
      </c>
      <c r="K20" s="124">
        <f>0.795/1000</f>
        <v>7.9500000000000003E-4</v>
      </c>
      <c r="L20" s="108" t="s">
        <v>384</v>
      </c>
      <c r="M20" s="102">
        <f>'1.1 y 1.2CUADROA2 - BNE 2020-21'!D$21</f>
        <v>9341</v>
      </c>
      <c r="N20" s="109" t="str">
        <f>'1.1 y 1.2CUADROA2 - BNE 2020-21'!E$21</f>
        <v>kcal/m3</v>
      </c>
      <c r="O20" s="102">
        <f t="shared" si="1"/>
        <v>8406.9</v>
      </c>
      <c r="P20" s="109" t="str">
        <f t="shared" si="2"/>
        <v>kcal/m3</v>
      </c>
      <c r="Q20" s="72" t="s">
        <v>392</v>
      </c>
      <c r="R20" s="103">
        <f t="shared" si="0"/>
        <v>3.5198008920000004E-5</v>
      </c>
      <c r="S20" s="103" t="str">
        <f t="shared" si="3"/>
        <v>TJ/m3</v>
      </c>
      <c r="T20" s="103">
        <f t="shared" si="4"/>
        <v>1.9746083004120003</v>
      </c>
      <c r="U20" s="103">
        <f t="shared" si="11"/>
        <v>3.5198008920000004E-5</v>
      </c>
      <c r="V20" s="103">
        <f t="shared" si="12"/>
        <v>3.5198008920000004E-6</v>
      </c>
      <c r="W20" s="103" t="str">
        <f t="shared" si="5"/>
        <v>kg GEI/m3</v>
      </c>
      <c r="X20" s="103">
        <f t="shared" si="6"/>
        <v>1.9746083004120003</v>
      </c>
      <c r="Y20" s="104">
        <f t="shared" si="7"/>
        <v>9.855442497600001E-4</v>
      </c>
      <c r="Z20" s="328">
        <f t="shared" si="8"/>
        <v>9.3274723638000015E-4</v>
      </c>
      <c r="AA20" s="103" t="str">
        <f t="shared" si="9"/>
        <v>kg CO2e/m3</v>
      </c>
      <c r="AB20" s="103">
        <f>SUM(X20:Z20)*IF(AND(F20="gramos",S20="TJ/m3")=TRUE(),1/(K20*1000000),IF(AND(F20="gramos",S20="TJ/kg")=TRUE(),1/(1000),IF(AND(F20="kilogramos",S20="TJ/m3")=TRUE(),1/(K20*1000),IF(AND(F20="toneladas",S20="TJ/m3")=TRUE(),1/K20,IF(AND(F49="toneladas",S20="TJ/kg")=TRUE(),1000,IF(AND(S20="TJ/m3",F20="litros")=TRUE(),1/1000,IF(AND(S20="TJ/kg",F20="litros")=TRUE(),K20/1000,1)))))))</f>
        <v>1.9765265918981403</v>
      </c>
      <c r="AC20" s="103" t="str">
        <f t="shared" si="10"/>
        <v>kgCO2e/metros cúbicos</v>
      </c>
      <c r="AD20" s="402" t="s">
        <v>1455</v>
      </c>
      <c r="AE20" s="72" t="s">
        <v>387</v>
      </c>
      <c r="AF20" s="402" t="s">
        <v>404</v>
      </c>
    </row>
    <row r="21" spans="2:32">
      <c r="B21" s="72" t="s">
        <v>110</v>
      </c>
      <c r="C21" s="72" t="s">
        <v>395</v>
      </c>
      <c r="D21" s="72" t="s">
        <v>396</v>
      </c>
      <c r="E21" s="72" t="s">
        <v>397</v>
      </c>
      <c r="F21" s="96" t="s">
        <v>103</v>
      </c>
      <c r="G21" s="79" t="s">
        <v>383</v>
      </c>
      <c r="H21" s="112">
        <f>'2.3 V2 CH2 T2.2'!$C$28</f>
        <v>69300</v>
      </c>
      <c r="I21" s="400">
        <f>'2.3 V2 CH2 T2.2'!$G$28</f>
        <v>3</v>
      </c>
      <c r="J21" s="95">
        <f>'2.3 V2 CH2 T2.2'!$J$28:$K$28</f>
        <v>0.6</v>
      </c>
      <c r="K21" s="76">
        <f>'1.1 y 1.2CUADROA2 - BNE 2020-21'!$C$16</f>
        <v>0.73</v>
      </c>
      <c r="L21" s="72" t="s">
        <v>384</v>
      </c>
      <c r="M21" s="102">
        <f>'1.1 y 1.2CUADROA2 - BNE 2020-21'!D$16</f>
        <v>11200</v>
      </c>
      <c r="N21" s="109" t="str">
        <f>'1.1 y 1.2CUADROA2 - BNE 2020-21'!E$16</f>
        <v>kcal/kg</v>
      </c>
      <c r="O21" s="102">
        <f t="shared" si="1"/>
        <v>10640</v>
      </c>
      <c r="P21" s="109" t="str">
        <f t="shared" si="2"/>
        <v>kcal/kg</v>
      </c>
      <c r="Q21" s="72" t="s">
        <v>385</v>
      </c>
      <c r="R21" s="103">
        <f t="shared" si="0"/>
        <v>3.2519712959999995E-2</v>
      </c>
      <c r="S21" s="103" t="str">
        <f t="shared" si="3"/>
        <v>TJ/m3</v>
      </c>
      <c r="T21" s="103">
        <f t="shared" si="4"/>
        <v>2253.6161081279997</v>
      </c>
      <c r="U21" s="103">
        <f t="shared" si="11"/>
        <v>9.7559138879999979E-2</v>
      </c>
      <c r="V21" s="103">
        <f t="shared" si="12"/>
        <v>1.9511827775999996E-2</v>
      </c>
      <c r="W21" s="103" t="str">
        <f t="shared" si="5"/>
        <v>kg GEI/m3</v>
      </c>
      <c r="X21" s="103">
        <f t="shared" si="6"/>
        <v>2253.6161081279997</v>
      </c>
      <c r="Y21" s="103">
        <f t="shared" si="7"/>
        <v>2.7316558886399993</v>
      </c>
      <c r="Z21" s="103">
        <f t="shared" si="8"/>
        <v>5.1706343606399985</v>
      </c>
      <c r="AA21" s="103" t="str">
        <f t="shared" si="9"/>
        <v>kg CO2e/m3</v>
      </c>
      <c r="AB21" s="103">
        <f t="shared" ref="AB21:AB24" si="13">SUM(X21:Z21)*IF(AND(F21="gramos",S21="TJ/m3")=TRUE(),1/(K21*1000000),IF(AND(F21="gramos",S21="TJ/kg")=TRUE(),1/(1000),IF(AND(F21="kilogramos",S21="TJ/m3")=TRUE(),1/(K21*1000),IF(AND(F21="toneladas",S21="TJ/m3")=TRUE(),1/K21,IF(AND(F51="toneladas",S21="TJ/kg")=TRUE(),1000,IF(AND(S21="TJ/m3",F21="litros")=TRUE(),1/1000,IF(AND(S21="TJ/kg",F21="litros")=TRUE(),K21/1000,1)))))))</f>
        <v>2261.5183983772799</v>
      </c>
      <c r="AC21" s="103" t="str">
        <f t="shared" si="10"/>
        <v>kgCO2e/metros cúbicos</v>
      </c>
      <c r="AD21" s="402" t="s">
        <v>1455</v>
      </c>
      <c r="AE21" s="72" t="s">
        <v>387</v>
      </c>
      <c r="AF21" s="402" t="s">
        <v>102</v>
      </c>
    </row>
    <row r="22" spans="2:32">
      <c r="B22" s="72" t="s">
        <v>110</v>
      </c>
      <c r="C22" s="72" t="s">
        <v>395</v>
      </c>
      <c r="D22" s="72" t="s">
        <v>396</v>
      </c>
      <c r="E22" s="72" t="s">
        <v>397</v>
      </c>
      <c r="F22" s="96" t="s">
        <v>104</v>
      </c>
      <c r="G22" s="79" t="s">
        <v>383</v>
      </c>
      <c r="H22" s="112">
        <f>'2.3 V2 CH2 T2.2'!$C$28</f>
        <v>69300</v>
      </c>
      <c r="I22" s="400">
        <f>'2.3 V2 CH2 T2.2'!$G$28</f>
        <v>3</v>
      </c>
      <c r="J22" s="95">
        <f>'2.3 V2 CH2 T2.2'!$J$28:$K$28</f>
        <v>0.6</v>
      </c>
      <c r="K22" s="72">
        <f>'1.1 y 1.2CUADROA2 - BNE 2020-21'!$C$16</f>
        <v>0.73</v>
      </c>
      <c r="L22" s="72" t="s">
        <v>384</v>
      </c>
      <c r="M22" s="102">
        <f>'1.1 y 1.2CUADROA2 - BNE 2020-21'!D$16</f>
        <v>11200</v>
      </c>
      <c r="N22" s="109" t="str">
        <f>'1.1 y 1.2CUADROA2 - BNE 2020-21'!E$16</f>
        <v>kcal/kg</v>
      </c>
      <c r="O22" s="102">
        <f t="shared" si="1"/>
        <v>10640</v>
      </c>
      <c r="P22" s="109" t="str">
        <f t="shared" si="2"/>
        <v>kcal/kg</v>
      </c>
      <c r="Q22" s="72" t="s">
        <v>385</v>
      </c>
      <c r="R22" s="103">
        <f t="shared" si="0"/>
        <v>3.2519712959999995E-2</v>
      </c>
      <c r="S22" s="103" t="str">
        <f t="shared" si="3"/>
        <v>TJ/m3</v>
      </c>
      <c r="T22" s="103">
        <f t="shared" si="4"/>
        <v>2253.6161081279997</v>
      </c>
      <c r="U22" s="103">
        <f t="shared" si="11"/>
        <v>9.7559138879999979E-2</v>
      </c>
      <c r="V22" s="103">
        <f t="shared" si="12"/>
        <v>1.9511827775999996E-2</v>
      </c>
      <c r="W22" s="103" t="str">
        <f t="shared" si="5"/>
        <v>kg GEI/m3</v>
      </c>
      <c r="X22" s="103">
        <f t="shared" si="6"/>
        <v>2253.6161081279997</v>
      </c>
      <c r="Y22" s="103">
        <f t="shared" si="7"/>
        <v>2.7316558886399993</v>
      </c>
      <c r="Z22" s="103">
        <f t="shared" si="8"/>
        <v>5.1706343606399985</v>
      </c>
      <c r="AA22" s="103" t="str">
        <f t="shared" si="9"/>
        <v>kg CO2e/m3</v>
      </c>
      <c r="AB22" s="103">
        <f t="shared" si="13"/>
        <v>2.2615183983772802</v>
      </c>
      <c r="AC22" s="103" t="str">
        <f t="shared" si="10"/>
        <v>kgCO2e/litros</v>
      </c>
      <c r="AD22" s="402" t="s">
        <v>1455</v>
      </c>
      <c r="AE22" s="72" t="s">
        <v>387</v>
      </c>
      <c r="AF22" s="402" t="s">
        <v>102</v>
      </c>
    </row>
    <row r="23" spans="2:32">
      <c r="B23" s="72" t="s">
        <v>120</v>
      </c>
      <c r="C23" s="72" t="s">
        <v>420</v>
      </c>
      <c r="D23" s="72" t="s">
        <v>418</v>
      </c>
      <c r="E23" s="72" t="s">
        <v>419</v>
      </c>
      <c r="F23" s="96" t="s">
        <v>103</v>
      </c>
      <c r="G23" s="79" t="s">
        <v>383</v>
      </c>
      <c r="H23" s="113">
        <f>'2.3 V2 CH2 T2.2'!$C$35</f>
        <v>77400</v>
      </c>
      <c r="I23" s="106">
        <f>'2.3 V2 CH2 T2.2'!$G$35</f>
        <v>3</v>
      </c>
      <c r="J23" s="106">
        <f>'2.3 V2 CH2 T2.2'!$J$35:$K$35</f>
        <v>0.6</v>
      </c>
      <c r="K23" s="72">
        <f>'1.1 y 1.2CUADROA2 - BNE 2020-21'!$C$13</f>
        <v>0.94499999999999995</v>
      </c>
      <c r="L23" s="72" t="s">
        <v>384</v>
      </c>
      <c r="M23" s="102">
        <f>'1.1 y 1.2CUADROA2 - BNE 2020-21'!D$13</f>
        <v>10500</v>
      </c>
      <c r="N23" s="109" t="str">
        <f>'1.1 y 1.2CUADROA2 - BNE 2020-21'!E$13</f>
        <v>kcal/kg</v>
      </c>
      <c r="O23" s="102">
        <f t="shared" si="1"/>
        <v>9975</v>
      </c>
      <c r="P23" s="109" t="str">
        <f t="shared" si="2"/>
        <v>kcal/kg</v>
      </c>
      <c r="Q23" s="72" t="s">
        <v>385</v>
      </c>
      <c r="R23" s="103">
        <f t="shared" si="0"/>
        <v>3.946634685E-2</v>
      </c>
      <c r="S23" s="103" t="str">
        <f t="shared" si="3"/>
        <v>TJ/m3</v>
      </c>
      <c r="T23" s="103">
        <f t="shared" si="4"/>
        <v>3054.69524619</v>
      </c>
      <c r="U23" s="103">
        <f t="shared" si="11"/>
        <v>0.11839904055</v>
      </c>
      <c r="V23" s="103">
        <f t="shared" si="12"/>
        <v>2.3679808109999999E-2</v>
      </c>
      <c r="W23" s="103" t="str">
        <f t="shared" si="5"/>
        <v>kg GEI/m3</v>
      </c>
      <c r="X23" s="103">
        <f t="shared" si="6"/>
        <v>3054.69524619</v>
      </c>
      <c r="Y23" s="103">
        <f t="shared" si="7"/>
        <v>3.3151731354000002</v>
      </c>
      <c r="Z23" s="103">
        <f t="shared" si="8"/>
        <v>6.2751491491499998</v>
      </c>
      <c r="AA23" s="103" t="str">
        <f t="shared" si="9"/>
        <v>kg CO2e/m3</v>
      </c>
      <c r="AB23" s="103">
        <f t="shared" si="13"/>
        <v>3064.28556847455</v>
      </c>
      <c r="AC23" s="103" t="str">
        <f t="shared" si="10"/>
        <v>kgCO2e/metros cúbicos</v>
      </c>
      <c r="AD23" s="402" t="s">
        <v>1455</v>
      </c>
      <c r="AE23" s="72" t="s">
        <v>387</v>
      </c>
      <c r="AF23" s="402" t="s">
        <v>102</v>
      </c>
    </row>
    <row r="24" spans="2:32">
      <c r="B24" s="72" t="s">
        <v>120</v>
      </c>
      <c r="C24" s="72" t="s">
        <v>420</v>
      </c>
      <c r="D24" s="72" t="s">
        <v>418</v>
      </c>
      <c r="E24" s="72" t="s">
        <v>419</v>
      </c>
      <c r="F24" s="96" t="s">
        <v>104</v>
      </c>
      <c r="G24" s="79" t="s">
        <v>383</v>
      </c>
      <c r="H24" s="113">
        <f>'2.3 V2 CH2 T2.2'!$C$35</f>
        <v>77400</v>
      </c>
      <c r="I24" s="106">
        <f>'2.3 V2 CH2 T2.2'!$G$35</f>
        <v>3</v>
      </c>
      <c r="J24" s="106">
        <f>'2.3 V2 CH2 T2.2'!$J$35:$K$35</f>
        <v>0.6</v>
      </c>
      <c r="K24" s="72">
        <f>'1.1 y 1.2CUADROA2 - BNE 2020-21'!$C$13</f>
        <v>0.94499999999999995</v>
      </c>
      <c r="L24" s="72" t="s">
        <v>384</v>
      </c>
      <c r="M24" s="102">
        <f>'1.1 y 1.2CUADROA2 - BNE 2020-21'!D$13</f>
        <v>10500</v>
      </c>
      <c r="N24" s="109" t="str">
        <f>'1.1 y 1.2CUADROA2 - BNE 2020-21'!E$13</f>
        <v>kcal/kg</v>
      </c>
      <c r="O24" s="102">
        <f t="shared" si="1"/>
        <v>9975</v>
      </c>
      <c r="P24" s="109" t="str">
        <f t="shared" si="2"/>
        <v>kcal/kg</v>
      </c>
      <c r="Q24" s="72" t="s">
        <v>385</v>
      </c>
      <c r="R24" s="103">
        <f t="shared" si="0"/>
        <v>3.946634685E-2</v>
      </c>
      <c r="S24" s="103" t="str">
        <f t="shared" si="3"/>
        <v>TJ/m3</v>
      </c>
      <c r="T24" s="103">
        <f t="shared" si="4"/>
        <v>3054.69524619</v>
      </c>
      <c r="U24" s="103">
        <f t="shared" si="11"/>
        <v>0.11839904055</v>
      </c>
      <c r="V24" s="103">
        <f t="shared" si="12"/>
        <v>2.3679808109999999E-2</v>
      </c>
      <c r="W24" s="103" t="str">
        <f t="shared" si="5"/>
        <v>kg GEI/m3</v>
      </c>
      <c r="X24" s="103">
        <f t="shared" si="6"/>
        <v>3054.69524619</v>
      </c>
      <c r="Y24" s="103">
        <f t="shared" si="7"/>
        <v>3.3151731354000002</v>
      </c>
      <c r="Z24" s="103">
        <f t="shared" si="8"/>
        <v>6.2751491491499998</v>
      </c>
      <c r="AA24" s="103" t="str">
        <f t="shared" si="9"/>
        <v>kg CO2e/m3</v>
      </c>
      <c r="AB24" s="103">
        <f t="shared" si="13"/>
        <v>3.06428556847455</v>
      </c>
      <c r="AC24" s="103" t="str">
        <f t="shared" si="10"/>
        <v>kgCO2e/litros</v>
      </c>
      <c r="AD24" s="402" t="s">
        <v>1455</v>
      </c>
      <c r="AE24" s="72" t="s">
        <v>387</v>
      </c>
      <c r="AF24" s="402" t="s">
        <v>102</v>
      </c>
    </row>
  </sheetData>
  <sheetProtection algorithmName="SHA-512" hashValue="JzNgM1GYbrxJPEneOXX33BhrdihFnSydICKpby+BirbChisqRxaxflexn9qpHp/1PwfFS+llppzpaHhpPiAv4w==" saltValue="wNzPyPj3vuxXGc/H2Qq6VQ==" spinCount="100000" sheet="1" objects="1" scenarios="1" autoFilter="0"/>
  <autoFilter ref="B15:AF24" xr:uid="{00000000-0001-0000-1B00-000000000000}"/>
  <mergeCells count="2">
    <mergeCell ref="T14:W14"/>
    <mergeCell ref="X14:AC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1E34-A882-4351-A158-06E3E6EEA239}">
  <sheetPr>
    <tabColor theme="7"/>
  </sheetPr>
  <dimension ref="B8:E13"/>
  <sheetViews>
    <sheetView showGridLines="0" workbookViewId="0"/>
  </sheetViews>
  <sheetFormatPr baseColWidth="10" defaultRowHeight="14.4"/>
  <cols>
    <col min="3" max="3" width="23.33203125" customWidth="1"/>
    <col min="4" max="4" width="35.44140625" customWidth="1"/>
    <col min="5" max="5" width="53.44140625" customWidth="1"/>
  </cols>
  <sheetData>
    <row r="8" spans="2:5" ht="15" thickBot="1">
      <c r="B8" s="516" t="s">
        <v>2237</v>
      </c>
      <c r="C8" s="516" t="s">
        <v>2244</v>
      </c>
      <c r="D8" s="516" t="s">
        <v>90</v>
      </c>
      <c r="E8" s="516" t="s">
        <v>2238</v>
      </c>
    </row>
    <row r="9" spans="2:5" ht="57.6">
      <c r="B9" s="778">
        <v>2</v>
      </c>
      <c r="C9" s="761" t="s">
        <v>68</v>
      </c>
      <c r="D9" s="779" t="s">
        <v>2239</v>
      </c>
      <c r="E9" s="786" t="s">
        <v>2240</v>
      </c>
    </row>
    <row r="10" spans="2:5" ht="72">
      <c r="B10" s="775">
        <v>3</v>
      </c>
      <c r="C10" s="764" t="s">
        <v>12</v>
      </c>
      <c r="D10" s="785" t="s">
        <v>100</v>
      </c>
      <c r="E10" s="785" t="s">
        <v>2242</v>
      </c>
    </row>
    <row r="11" spans="2:5" ht="57.6">
      <c r="B11" s="775">
        <v>3</v>
      </c>
      <c r="C11" s="764" t="s">
        <v>16</v>
      </c>
      <c r="D11" s="785" t="s">
        <v>2241</v>
      </c>
      <c r="E11" s="785" t="s">
        <v>2243</v>
      </c>
    </row>
    <row r="12" spans="2:5" ht="57.6">
      <c r="B12" s="775">
        <v>3</v>
      </c>
      <c r="C12" s="764" t="s">
        <v>46</v>
      </c>
      <c r="D12" s="785" t="s">
        <v>209</v>
      </c>
      <c r="E12" s="785" t="s">
        <v>2243</v>
      </c>
    </row>
    <row r="13" spans="2:5" ht="72">
      <c r="B13" s="775">
        <v>3</v>
      </c>
      <c r="C13" s="764" t="s">
        <v>82</v>
      </c>
      <c r="D13" s="785" t="s">
        <v>318</v>
      </c>
      <c r="E13" s="785" t="s">
        <v>2242</v>
      </c>
    </row>
  </sheetData>
  <sheetProtection algorithmName="SHA-512" hashValue="w1En+8EunrDKYorzAnf3shuFkQEZEKm/q27jbzj74G77DdTXtskxkdSSJNXrJcwvwgsZDxqhYzy8stRMbbEPXw==" saltValue="LoDenX+LH5gXK7DY0WA+RA==" spinCount="100000" sheet="1" objects="1" scenarios="1" autoFilter="0"/>
  <autoFilter ref="B8:E8" xr:uid="{E8EA1E34-A882-4351-A158-06E3E6EEA239}"/>
  <conditionalFormatting sqref="B9:C13 E9:E13">
    <cfRule type="cellIs" dxfId="29" priority="5" operator="equal">
      <formula>"Usuario ingresa FE propio"</formula>
    </cfRule>
    <cfRule type="cellIs" dxfId="28" priority="6" operator="equal">
      <formula>"Dudas por resolver"</formula>
    </cfRule>
    <cfRule type="cellIs" dxfId="27" priority="7" operator="equal">
      <formula>"Pendiente"</formula>
    </cfRule>
    <cfRule type="cellIs" dxfId="26" priority="8" operator="equal">
      <formula>"Listo"</formula>
    </cfRule>
  </conditionalFormatting>
  <conditionalFormatting sqref="D9:D13">
    <cfRule type="cellIs" dxfId="25" priority="1" operator="equal">
      <formula>"Usuario ingresa FE propio"</formula>
    </cfRule>
    <cfRule type="cellIs" dxfId="24" priority="2" operator="equal">
      <formula>"Dudas por resolver"</formula>
    </cfRule>
    <cfRule type="cellIs" dxfId="23" priority="3" operator="equal">
      <formula>"Pendiente"</formula>
    </cfRule>
    <cfRule type="cellIs" dxfId="22" priority="4" operator="equal">
      <formula>"Listo"</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M57"/>
  <sheetViews>
    <sheetView showGridLines="0" workbookViewId="0">
      <selection sqref="A1:M1"/>
    </sheetView>
  </sheetViews>
  <sheetFormatPr baseColWidth="10" defaultColWidth="8" defaultRowHeight="13.2"/>
  <cols>
    <col min="1" max="1" width="5" style="365" customWidth="1"/>
    <col min="2" max="2" width="9.109375" style="365" customWidth="1"/>
    <col min="3" max="3" width="9.5546875" style="365" customWidth="1"/>
    <col min="4" max="4" width="9" style="365" customWidth="1"/>
    <col min="5" max="5" width="8.6640625" style="365" customWidth="1"/>
    <col min="6" max="6" width="3.5546875" style="365" customWidth="1"/>
    <col min="7" max="7" width="4.109375" style="365" customWidth="1"/>
    <col min="8" max="8" width="8" style="365" customWidth="1"/>
    <col min="9" max="9" width="8.109375" style="365" customWidth="1"/>
    <col min="10" max="10" width="3.44140625" style="365" customWidth="1"/>
    <col min="11" max="11" width="4.44140625" style="365" customWidth="1"/>
    <col min="12" max="12" width="8" style="365" customWidth="1"/>
    <col min="13" max="13" width="8.109375" style="365" customWidth="1"/>
    <col min="14" max="16384" width="8" style="365"/>
  </cols>
  <sheetData>
    <row r="1" spans="1:13" ht="40.65" customHeight="1">
      <c r="A1" s="652" t="s">
        <v>1456</v>
      </c>
      <c r="B1" s="653"/>
      <c r="C1" s="653"/>
      <c r="D1" s="653"/>
      <c r="E1" s="653"/>
      <c r="F1" s="653"/>
      <c r="G1" s="653"/>
      <c r="H1" s="653"/>
      <c r="I1" s="653"/>
      <c r="J1" s="653"/>
      <c r="K1" s="653"/>
      <c r="L1" s="653"/>
      <c r="M1" s="654"/>
    </row>
    <row r="2" spans="1:13" ht="18.899999999999999" customHeight="1">
      <c r="A2" s="655" t="s">
        <v>482</v>
      </c>
      <c r="B2" s="656"/>
      <c r="C2" s="659" t="s">
        <v>484</v>
      </c>
      <c r="D2" s="660"/>
      <c r="E2" s="661"/>
      <c r="F2" s="659" t="s">
        <v>485</v>
      </c>
      <c r="G2" s="660"/>
      <c r="H2" s="660"/>
      <c r="I2" s="661"/>
      <c r="J2" s="659" t="s">
        <v>486</v>
      </c>
      <c r="K2" s="660"/>
      <c r="L2" s="660"/>
      <c r="M2" s="661"/>
    </row>
    <row r="3" spans="1:13" ht="49.5" customHeight="1">
      <c r="A3" s="657"/>
      <c r="B3" s="658"/>
      <c r="C3" s="448" t="s">
        <v>487</v>
      </c>
      <c r="D3" s="449" t="s">
        <v>488</v>
      </c>
      <c r="E3" s="449" t="s">
        <v>489</v>
      </c>
      <c r="F3" s="662" t="s">
        <v>487</v>
      </c>
      <c r="G3" s="663"/>
      <c r="H3" s="450" t="s">
        <v>488</v>
      </c>
      <c r="I3" s="450" t="s">
        <v>489</v>
      </c>
      <c r="J3" s="662" t="s">
        <v>487</v>
      </c>
      <c r="K3" s="663"/>
      <c r="L3" s="450" t="s">
        <v>488</v>
      </c>
      <c r="M3" s="450" t="s">
        <v>489</v>
      </c>
    </row>
    <row r="4" spans="1:13" ht="12.6" customHeight="1">
      <c r="A4" s="643" t="s">
        <v>1457</v>
      </c>
      <c r="B4" s="644"/>
      <c r="C4" s="380" t="s">
        <v>1458</v>
      </c>
      <c r="D4" s="372">
        <v>68200</v>
      </c>
      <c r="E4" s="372">
        <v>95300</v>
      </c>
      <c r="F4" s="447" t="s">
        <v>1459</v>
      </c>
      <c r="G4" s="371">
        <v>1</v>
      </c>
      <c r="H4" s="369">
        <v>0.3</v>
      </c>
      <c r="I4" s="367">
        <v>3</v>
      </c>
      <c r="J4" s="451" t="s">
        <v>1460</v>
      </c>
      <c r="K4" s="368">
        <v>1.5</v>
      </c>
      <c r="L4" s="369">
        <v>0.5</v>
      </c>
      <c r="M4" s="367">
        <v>5</v>
      </c>
    </row>
    <row r="5" spans="1:13" ht="29.25" customHeight="1">
      <c r="A5" s="649" t="s">
        <v>1461</v>
      </c>
      <c r="B5" s="452" t="s">
        <v>1462</v>
      </c>
      <c r="C5" s="382" t="s">
        <v>1463</v>
      </c>
      <c r="D5" s="391">
        <v>37300</v>
      </c>
      <c r="E5" s="391">
        <v>54100</v>
      </c>
      <c r="F5" s="453" t="s">
        <v>1459</v>
      </c>
      <c r="G5" s="392">
        <v>1</v>
      </c>
      <c r="H5" s="393">
        <v>0.3</v>
      </c>
      <c r="I5" s="394">
        <v>3</v>
      </c>
      <c r="J5" s="641">
        <v>0.1</v>
      </c>
      <c r="K5" s="642"/>
      <c r="L5" s="395">
        <v>0.03</v>
      </c>
      <c r="M5" s="393">
        <v>0.3</v>
      </c>
    </row>
    <row r="6" spans="1:13" ht="29.25" customHeight="1">
      <c r="A6" s="650"/>
      <c r="B6" s="452" t="s">
        <v>1464</v>
      </c>
      <c r="C6" s="382" t="s">
        <v>1463</v>
      </c>
      <c r="D6" s="391">
        <v>37300</v>
      </c>
      <c r="E6" s="391">
        <v>54100</v>
      </c>
      <c r="F6" s="453" t="s">
        <v>1460</v>
      </c>
      <c r="G6" s="392">
        <v>1</v>
      </c>
      <c r="H6" s="393">
        <v>0.3</v>
      </c>
      <c r="I6" s="394">
        <v>3</v>
      </c>
      <c r="J6" s="641">
        <v>0.1</v>
      </c>
      <c r="K6" s="642"/>
      <c r="L6" s="395">
        <v>0.03</v>
      </c>
      <c r="M6" s="393">
        <v>0.3</v>
      </c>
    </row>
    <row r="7" spans="1:13" ht="20.399999999999999" customHeight="1">
      <c r="A7" s="650"/>
      <c r="B7" s="452" t="s">
        <v>1465</v>
      </c>
      <c r="C7" s="380" t="s">
        <v>1466</v>
      </c>
      <c r="D7" s="372">
        <v>219000</v>
      </c>
      <c r="E7" s="372">
        <v>308000</v>
      </c>
      <c r="F7" s="447" t="s">
        <v>1460</v>
      </c>
      <c r="G7" s="371">
        <v>1</v>
      </c>
      <c r="H7" s="369">
        <v>0.3</v>
      </c>
      <c r="I7" s="367">
        <v>3</v>
      </c>
      <c r="J7" s="639">
        <v>0.1</v>
      </c>
      <c r="K7" s="640"/>
      <c r="L7" s="370">
        <v>0.03</v>
      </c>
      <c r="M7" s="369">
        <v>0.3</v>
      </c>
    </row>
    <row r="8" spans="1:13" ht="37.65" customHeight="1">
      <c r="A8" s="651"/>
      <c r="B8" s="452" t="s">
        <v>1467</v>
      </c>
      <c r="C8" s="382" t="s">
        <v>1468</v>
      </c>
      <c r="D8" s="391">
        <v>145000</v>
      </c>
      <c r="E8" s="391">
        <v>202000</v>
      </c>
      <c r="F8" s="453" t="s">
        <v>1460</v>
      </c>
      <c r="G8" s="392">
        <v>1</v>
      </c>
      <c r="H8" s="393">
        <v>0.3</v>
      </c>
      <c r="I8" s="394">
        <v>3</v>
      </c>
      <c r="J8" s="641">
        <v>0.1</v>
      </c>
      <c r="K8" s="642"/>
      <c r="L8" s="395">
        <v>0.03</v>
      </c>
      <c r="M8" s="393">
        <v>0.3</v>
      </c>
    </row>
    <row r="9" spans="1:13" ht="12.6" customHeight="1">
      <c r="A9" s="643" t="s">
        <v>1469</v>
      </c>
      <c r="B9" s="644"/>
      <c r="C9" s="366">
        <v>56100</v>
      </c>
      <c r="D9" s="372">
        <v>54300</v>
      </c>
      <c r="E9" s="372">
        <v>58300</v>
      </c>
      <c r="F9" s="397">
        <v>1</v>
      </c>
      <c r="G9" s="398"/>
      <c r="H9" s="369">
        <v>0.3</v>
      </c>
      <c r="I9" s="367">
        <v>3</v>
      </c>
      <c r="J9" s="639">
        <v>0.1</v>
      </c>
      <c r="K9" s="640"/>
      <c r="L9" s="370">
        <v>0.03</v>
      </c>
      <c r="M9" s="369">
        <v>0.3</v>
      </c>
    </row>
    <row r="10" spans="1:13" ht="35.4" customHeight="1">
      <c r="A10" s="647" t="s">
        <v>1470</v>
      </c>
      <c r="B10" s="648"/>
      <c r="C10" s="382" t="s">
        <v>1471</v>
      </c>
      <c r="D10" s="391">
        <v>73300</v>
      </c>
      <c r="E10" s="391">
        <v>121000</v>
      </c>
      <c r="F10" s="629">
        <v>30</v>
      </c>
      <c r="G10" s="630"/>
      <c r="H10" s="394">
        <v>10</v>
      </c>
      <c r="I10" s="394">
        <v>100</v>
      </c>
      <c r="J10" s="629">
        <v>4</v>
      </c>
      <c r="K10" s="630"/>
      <c r="L10" s="393">
        <v>1.5</v>
      </c>
      <c r="M10" s="394">
        <v>15</v>
      </c>
    </row>
    <row r="11" spans="1:13" ht="21.75" customHeight="1">
      <c r="A11" s="643" t="s">
        <v>1472</v>
      </c>
      <c r="B11" s="644"/>
      <c r="C11" s="380" t="s">
        <v>1473</v>
      </c>
      <c r="D11" s="372">
        <v>110000</v>
      </c>
      <c r="E11" s="372">
        <v>183000</v>
      </c>
      <c r="F11" s="645">
        <v>30</v>
      </c>
      <c r="G11" s="646"/>
      <c r="H11" s="367">
        <v>10</v>
      </c>
      <c r="I11" s="367">
        <v>100</v>
      </c>
      <c r="J11" s="645">
        <v>4</v>
      </c>
      <c r="K11" s="646"/>
      <c r="L11" s="369">
        <v>1.5</v>
      </c>
      <c r="M11" s="367">
        <v>15</v>
      </c>
    </row>
    <row r="12" spans="1:13" ht="12.6" customHeight="1">
      <c r="A12" s="643" t="s">
        <v>1474</v>
      </c>
      <c r="B12" s="644"/>
      <c r="C12" s="380" t="s">
        <v>1475</v>
      </c>
      <c r="D12" s="372">
        <v>72200</v>
      </c>
      <c r="E12" s="372">
        <v>74400</v>
      </c>
      <c r="F12" s="645">
        <v>30</v>
      </c>
      <c r="G12" s="646"/>
      <c r="H12" s="367">
        <v>10</v>
      </c>
      <c r="I12" s="367">
        <v>100</v>
      </c>
      <c r="J12" s="645">
        <v>4</v>
      </c>
      <c r="K12" s="646"/>
      <c r="L12" s="369">
        <v>1.5</v>
      </c>
      <c r="M12" s="367">
        <v>15</v>
      </c>
    </row>
    <row r="13" spans="1:13" ht="12.6" customHeight="1">
      <c r="A13" s="643" t="s">
        <v>1476</v>
      </c>
      <c r="B13" s="644"/>
      <c r="C13" s="372">
        <v>106000</v>
      </c>
      <c r="D13" s="372">
        <v>100000</v>
      </c>
      <c r="E13" s="372">
        <v>108000</v>
      </c>
      <c r="F13" s="447" t="s">
        <v>1459</v>
      </c>
      <c r="G13" s="371">
        <v>1</v>
      </c>
      <c r="H13" s="369">
        <v>0.3</v>
      </c>
      <c r="I13" s="367">
        <v>3</v>
      </c>
      <c r="J13" s="451" t="s">
        <v>1459</v>
      </c>
      <c r="K13" s="368">
        <v>1.5</v>
      </c>
      <c r="L13" s="369">
        <v>0.5</v>
      </c>
      <c r="M13" s="367">
        <v>5</v>
      </c>
    </row>
    <row r="14" spans="1:13" ht="27.6" customHeight="1">
      <c r="A14" s="636" t="s">
        <v>1477</v>
      </c>
      <c r="B14" s="381" t="s">
        <v>1478</v>
      </c>
      <c r="C14" s="382" t="s">
        <v>1479</v>
      </c>
      <c r="D14" s="391">
        <v>95000</v>
      </c>
      <c r="E14" s="391">
        <v>132000</v>
      </c>
      <c r="F14" s="629">
        <v>30</v>
      </c>
      <c r="G14" s="630"/>
      <c r="H14" s="394">
        <v>10</v>
      </c>
      <c r="I14" s="394">
        <v>100</v>
      </c>
      <c r="J14" s="629">
        <v>4</v>
      </c>
      <c r="K14" s="630"/>
      <c r="L14" s="393">
        <v>1.5</v>
      </c>
      <c r="M14" s="394">
        <v>15</v>
      </c>
    </row>
    <row r="15" spans="1:13" ht="27.6" customHeight="1">
      <c r="A15" s="637"/>
      <c r="B15" s="381" t="s">
        <v>1480</v>
      </c>
      <c r="C15" s="382" t="s">
        <v>1481</v>
      </c>
      <c r="D15" s="391">
        <v>80700</v>
      </c>
      <c r="E15" s="391">
        <v>110000</v>
      </c>
      <c r="F15" s="453" t="s">
        <v>1459</v>
      </c>
      <c r="G15" s="392">
        <v>3</v>
      </c>
      <c r="H15" s="394">
        <v>1</v>
      </c>
      <c r="I15" s="394">
        <v>18</v>
      </c>
      <c r="J15" s="454" t="s">
        <v>1459</v>
      </c>
      <c r="K15" s="392">
        <v>2</v>
      </c>
      <c r="L15" s="394">
        <v>1</v>
      </c>
      <c r="M15" s="394">
        <v>21</v>
      </c>
    </row>
    <row r="16" spans="1:13" ht="35.4" customHeight="1">
      <c r="A16" s="637"/>
      <c r="B16" s="381" t="s">
        <v>1482</v>
      </c>
      <c r="C16" s="382" t="s">
        <v>1483</v>
      </c>
      <c r="D16" s="391">
        <v>84700</v>
      </c>
      <c r="E16" s="391">
        <v>117000</v>
      </c>
      <c r="F16" s="629">
        <v>30</v>
      </c>
      <c r="G16" s="630"/>
      <c r="H16" s="394">
        <v>10</v>
      </c>
      <c r="I16" s="394">
        <v>100</v>
      </c>
      <c r="J16" s="629">
        <v>4</v>
      </c>
      <c r="K16" s="630"/>
      <c r="L16" s="393">
        <v>1.5</v>
      </c>
      <c r="M16" s="394">
        <v>15</v>
      </c>
    </row>
    <row r="17" spans="1:13" ht="19.5" customHeight="1">
      <c r="A17" s="638"/>
      <c r="B17" s="381" t="s">
        <v>1484</v>
      </c>
      <c r="C17" s="380" t="s">
        <v>1479</v>
      </c>
      <c r="D17" s="372">
        <v>95000</v>
      </c>
      <c r="E17" s="372">
        <v>132000</v>
      </c>
      <c r="F17" s="645">
        <v>200</v>
      </c>
      <c r="G17" s="646"/>
      <c r="H17" s="367">
        <v>70</v>
      </c>
      <c r="I17" s="367">
        <v>600</v>
      </c>
      <c r="J17" s="645">
        <v>4</v>
      </c>
      <c r="K17" s="646"/>
      <c r="L17" s="369">
        <v>1.5</v>
      </c>
      <c r="M17" s="367">
        <v>15</v>
      </c>
    </row>
    <row r="18" spans="1:13" ht="12.6" customHeight="1">
      <c r="A18" s="636" t="s">
        <v>1485</v>
      </c>
      <c r="B18" s="452" t="s">
        <v>1486</v>
      </c>
      <c r="C18" s="380" t="s">
        <v>1487</v>
      </c>
      <c r="D18" s="372">
        <v>59800</v>
      </c>
      <c r="E18" s="372">
        <v>84300</v>
      </c>
      <c r="F18" s="447" t="s">
        <v>1460</v>
      </c>
      <c r="G18" s="371">
        <v>3</v>
      </c>
      <c r="H18" s="367">
        <v>1</v>
      </c>
      <c r="I18" s="367">
        <v>10</v>
      </c>
      <c r="J18" s="639">
        <v>0.6</v>
      </c>
      <c r="K18" s="640"/>
      <c r="L18" s="369">
        <v>0.2</v>
      </c>
      <c r="M18" s="367">
        <v>2</v>
      </c>
    </row>
    <row r="19" spans="1:13" ht="12.6" customHeight="1">
      <c r="A19" s="637"/>
      <c r="B19" s="452" t="s">
        <v>1488</v>
      </c>
      <c r="C19" s="380" t="s">
        <v>1487</v>
      </c>
      <c r="D19" s="372">
        <v>59800</v>
      </c>
      <c r="E19" s="372">
        <v>84300</v>
      </c>
      <c r="F19" s="447" t="s">
        <v>1460</v>
      </c>
      <c r="G19" s="371">
        <v>3</v>
      </c>
      <c r="H19" s="367">
        <v>1</v>
      </c>
      <c r="I19" s="367">
        <v>10</v>
      </c>
      <c r="J19" s="639">
        <v>0.6</v>
      </c>
      <c r="K19" s="640"/>
      <c r="L19" s="369">
        <v>0.2</v>
      </c>
      <c r="M19" s="367">
        <v>2</v>
      </c>
    </row>
    <row r="20" spans="1:13" ht="37.65" customHeight="1">
      <c r="A20" s="638"/>
      <c r="B20" s="452" t="s">
        <v>1489</v>
      </c>
      <c r="C20" s="382" t="s">
        <v>1490</v>
      </c>
      <c r="D20" s="391">
        <v>67100</v>
      </c>
      <c r="E20" s="391">
        <v>95300</v>
      </c>
      <c r="F20" s="453" t="s">
        <v>1460</v>
      </c>
      <c r="G20" s="392">
        <v>3</v>
      </c>
      <c r="H20" s="394">
        <v>1</v>
      </c>
      <c r="I20" s="394">
        <v>10</v>
      </c>
      <c r="J20" s="641">
        <v>0.6</v>
      </c>
      <c r="K20" s="642"/>
      <c r="L20" s="393">
        <v>0.2</v>
      </c>
      <c r="M20" s="394">
        <v>2</v>
      </c>
    </row>
    <row r="21" spans="1:13" ht="20.399999999999999" customHeight="1">
      <c r="A21" s="622" t="s">
        <v>1491</v>
      </c>
      <c r="B21" s="452" t="s">
        <v>1492</v>
      </c>
      <c r="C21" s="380" t="s">
        <v>1493</v>
      </c>
      <c r="D21" s="372">
        <v>46200</v>
      </c>
      <c r="E21" s="372">
        <v>66000</v>
      </c>
      <c r="F21" s="447" t="s">
        <v>1460</v>
      </c>
      <c r="G21" s="371">
        <v>1</v>
      </c>
      <c r="H21" s="369">
        <v>0.3</v>
      </c>
      <c r="I21" s="367">
        <v>3</v>
      </c>
      <c r="J21" s="639">
        <v>0.1</v>
      </c>
      <c r="K21" s="640"/>
      <c r="L21" s="370">
        <v>0.03</v>
      </c>
      <c r="M21" s="369">
        <v>0.3</v>
      </c>
    </row>
    <row r="22" spans="1:13" ht="37.65" customHeight="1">
      <c r="A22" s="623"/>
      <c r="B22" s="452" t="s">
        <v>1494</v>
      </c>
      <c r="C22" s="382" t="s">
        <v>1493</v>
      </c>
      <c r="D22" s="391">
        <v>46200</v>
      </c>
      <c r="E22" s="391">
        <v>66000</v>
      </c>
      <c r="F22" s="453" t="s">
        <v>1460</v>
      </c>
      <c r="G22" s="392">
        <v>1</v>
      </c>
      <c r="H22" s="393">
        <v>0.3</v>
      </c>
      <c r="I22" s="394">
        <v>3</v>
      </c>
      <c r="J22" s="641">
        <v>0.1</v>
      </c>
      <c r="K22" s="642"/>
      <c r="L22" s="395">
        <v>0.03</v>
      </c>
      <c r="M22" s="393">
        <v>0.3</v>
      </c>
    </row>
    <row r="23" spans="1:13" ht="20.399999999999999" customHeight="1">
      <c r="A23" s="624"/>
      <c r="B23" s="452" t="s">
        <v>1495</v>
      </c>
      <c r="C23" s="380" t="s">
        <v>1493</v>
      </c>
      <c r="D23" s="372">
        <v>46200</v>
      </c>
      <c r="E23" s="372">
        <v>66000</v>
      </c>
      <c r="F23" s="447" t="s">
        <v>1460</v>
      </c>
      <c r="G23" s="371">
        <v>1</v>
      </c>
      <c r="H23" s="369">
        <v>0.3</v>
      </c>
      <c r="I23" s="367">
        <v>3</v>
      </c>
      <c r="J23" s="639">
        <v>0.1</v>
      </c>
      <c r="K23" s="640"/>
      <c r="L23" s="370">
        <v>0.03</v>
      </c>
      <c r="M23" s="369">
        <v>0.3</v>
      </c>
    </row>
    <row r="24" spans="1:13" ht="51.6" customHeight="1">
      <c r="A24" s="396" t="s">
        <v>1496</v>
      </c>
      <c r="B24" s="381" t="s">
        <v>1497</v>
      </c>
      <c r="C24" s="382" t="s">
        <v>1483</v>
      </c>
      <c r="D24" s="391">
        <v>84700</v>
      </c>
      <c r="E24" s="391">
        <v>117000</v>
      </c>
      <c r="F24" s="629">
        <v>30</v>
      </c>
      <c r="G24" s="630"/>
      <c r="H24" s="394">
        <v>10</v>
      </c>
      <c r="I24" s="394">
        <v>100</v>
      </c>
      <c r="J24" s="629">
        <v>4</v>
      </c>
      <c r="K24" s="630"/>
      <c r="L24" s="393">
        <v>1.5</v>
      </c>
      <c r="M24" s="394">
        <v>15</v>
      </c>
    </row>
    <row r="25" spans="1:13">
      <c r="A25" s="613" t="s">
        <v>1498</v>
      </c>
      <c r="B25" s="614"/>
      <c r="C25" s="373">
        <v>73300</v>
      </c>
      <c r="D25" s="374">
        <v>71000</v>
      </c>
      <c r="E25" s="375">
        <v>75500</v>
      </c>
      <c r="F25" s="455" t="s">
        <v>1499</v>
      </c>
      <c r="G25" s="376">
        <v>3</v>
      </c>
      <c r="H25" s="377">
        <v>1</v>
      </c>
      <c r="I25" s="377">
        <v>10</v>
      </c>
      <c r="J25" s="615">
        <v>0.6</v>
      </c>
      <c r="K25" s="616"/>
      <c r="L25" s="379">
        <v>0.2</v>
      </c>
      <c r="M25" s="377">
        <v>2</v>
      </c>
    </row>
    <row r="26" spans="1:13">
      <c r="A26" s="613" t="s">
        <v>1500</v>
      </c>
      <c r="B26" s="614"/>
      <c r="C26" s="380" t="s">
        <v>1501</v>
      </c>
      <c r="D26" s="374">
        <v>69300</v>
      </c>
      <c r="E26" s="375">
        <v>85400</v>
      </c>
      <c r="F26" s="455" t="s">
        <v>1499</v>
      </c>
      <c r="G26" s="376">
        <v>3</v>
      </c>
      <c r="H26" s="377">
        <v>1</v>
      </c>
      <c r="I26" s="377">
        <v>10</v>
      </c>
      <c r="J26" s="615">
        <v>0.6</v>
      </c>
      <c r="K26" s="616"/>
      <c r="L26" s="379">
        <v>0.2</v>
      </c>
      <c r="M26" s="377">
        <v>2</v>
      </c>
    </row>
    <row r="27" spans="1:13">
      <c r="A27" s="613" t="s">
        <v>1502</v>
      </c>
      <c r="B27" s="614"/>
      <c r="C27" s="380" t="s">
        <v>1503</v>
      </c>
      <c r="D27" s="374">
        <v>58300</v>
      </c>
      <c r="E27" s="375">
        <v>70400</v>
      </c>
      <c r="F27" s="455" t="s">
        <v>1499</v>
      </c>
      <c r="G27" s="376">
        <v>3</v>
      </c>
      <c r="H27" s="377">
        <v>1</v>
      </c>
      <c r="I27" s="377">
        <v>10</v>
      </c>
      <c r="J27" s="615">
        <v>0.6</v>
      </c>
      <c r="K27" s="616"/>
      <c r="L27" s="379">
        <v>0.2</v>
      </c>
      <c r="M27" s="377">
        <v>2</v>
      </c>
    </row>
    <row r="28" spans="1:13" ht="19.2">
      <c r="A28" s="617" t="s">
        <v>1504</v>
      </c>
      <c r="B28" s="381" t="s">
        <v>1505</v>
      </c>
      <c r="C28" s="399">
        <v>69300</v>
      </c>
      <c r="D28" s="383">
        <v>67500</v>
      </c>
      <c r="E28" s="384">
        <v>73000</v>
      </c>
      <c r="F28" s="456" t="s">
        <v>1499</v>
      </c>
      <c r="G28" s="385">
        <v>3</v>
      </c>
      <c r="H28" s="386">
        <v>1</v>
      </c>
      <c r="I28" s="386">
        <v>10</v>
      </c>
      <c r="J28" s="620">
        <v>0.6</v>
      </c>
      <c r="K28" s="621"/>
      <c r="L28" s="388">
        <v>0.2</v>
      </c>
      <c r="M28" s="386">
        <v>2</v>
      </c>
    </row>
    <row r="29" spans="1:13" ht="19.2">
      <c r="A29" s="618"/>
      <c r="B29" s="381" t="s">
        <v>1506</v>
      </c>
      <c r="C29" s="382" t="s">
        <v>1507</v>
      </c>
      <c r="D29" s="383">
        <v>67500</v>
      </c>
      <c r="E29" s="384">
        <v>73000</v>
      </c>
      <c r="F29" s="456" t="s">
        <v>1499</v>
      </c>
      <c r="G29" s="385">
        <v>3</v>
      </c>
      <c r="H29" s="386">
        <v>1</v>
      </c>
      <c r="I29" s="386">
        <v>10</v>
      </c>
      <c r="J29" s="620">
        <v>0.6</v>
      </c>
      <c r="K29" s="621"/>
      <c r="L29" s="388">
        <v>0.2</v>
      </c>
      <c r="M29" s="386">
        <v>2</v>
      </c>
    </row>
    <row r="30" spans="1:13" ht="28.8">
      <c r="A30" s="619"/>
      <c r="B30" s="381" t="s">
        <v>1508</v>
      </c>
      <c r="C30" s="382" t="s">
        <v>1507</v>
      </c>
      <c r="D30" s="383">
        <v>67500</v>
      </c>
      <c r="E30" s="384">
        <v>73000</v>
      </c>
      <c r="F30" s="456" t="s">
        <v>1499</v>
      </c>
      <c r="G30" s="385">
        <v>3</v>
      </c>
      <c r="H30" s="386">
        <v>1</v>
      </c>
      <c r="I30" s="386">
        <v>10</v>
      </c>
      <c r="J30" s="620">
        <v>0.6</v>
      </c>
      <c r="K30" s="621"/>
      <c r="L30" s="388">
        <v>0.2</v>
      </c>
      <c r="M30" s="386">
        <v>2</v>
      </c>
    </row>
    <row r="31" spans="1:13">
      <c r="A31" s="613" t="s">
        <v>1509</v>
      </c>
      <c r="B31" s="614"/>
      <c r="C31" s="380" t="s">
        <v>1510</v>
      </c>
      <c r="D31" s="374">
        <v>69700</v>
      </c>
      <c r="E31" s="375">
        <v>74400</v>
      </c>
      <c r="F31" s="455" t="s">
        <v>1499</v>
      </c>
      <c r="G31" s="376">
        <v>3</v>
      </c>
      <c r="H31" s="377">
        <v>1</v>
      </c>
      <c r="I31" s="377">
        <v>10</v>
      </c>
      <c r="J31" s="615">
        <v>0.6</v>
      </c>
      <c r="K31" s="616"/>
      <c r="L31" s="379">
        <v>0.2</v>
      </c>
      <c r="M31" s="377">
        <v>2</v>
      </c>
    </row>
    <row r="32" spans="1:13">
      <c r="A32" s="613" t="s">
        <v>1511</v>
      </c>
      <c r="B32" s="614"/>
      <c r="C32" s="373">
        <v>71900</v>
      </c>
      <c r="D32" s="374">
        <v>70800</v>
      </c>
      <c r="E32" s="375">
        <v>73700</v>
      </c>
      <c r="F32" s="455" t="s">
        <v>1499</v>
      </c>
      <c r="G32" s="376">
        <v>3</v>
      </c>
      <c r="H32" s="377">
        <v>1</v>
      </c>
      <c r="I32" s="377">
        <v>10</v>
      </c>
      <c r="J32" s="615">
        <v>0.6</v>
      </c>
      <c r="K32" s="616"/>
      <c r="L32" s="379">
        <v>0.2</v>
      </c>
      <c r="M32" s="377">
        <v>2</v>
      </c>
    </row>
    <row r="33" spans="1:13">
      <c r="A33" s="613" t="s">
        <v>1512</v>
      </c>
      <c r="B33" s="614"/>
      <c r="C33" s="373">
        <v>73300</v>
      </c>
      <c r="D33" s="374">
        <v>67800</v>
      </c>
      <c r="E33" s="375">
        <v>79200</v>
      </c>
      <c r="F33" s="455" t="s">
        <v>1499</v>
      </c>
      <c r="G33" s="376">
        <v>3</v>
      </c>
      <c r="H33" s="377">
        <v>1</v>
      </c>
      <c r="I33" s="377">
        <v>10</v>
      </c>
      <c r="J33" s="615">
        <v>0.6</v>
      </c>
      <c r="K33" s="616"/>
      <c r="L33" s="379">
        <v>0.2</v>
      </c>
      <c r="M33" s="377">
        <v>2</v>
      </c>
    </row>
    <row r="34" spans="1:13">
      <c r="A34" s="613" t="s">
        <v>1513</v>
      </c>
      <c r="B34" s="614"/>
      <c r="C34" s="373">
        <v>74100</v>
      </c>
      <c r="D34" s="374">
        <v>72600</v>
      </c>
      <c r="E34" s="375">
        <v>74800</v>
      </c>
      <c r="F34" s="455" t="s">
        <v>1499</v>
      </c>
      <c r="G34" s="376">
        <v>3</v>
      </c>
      <c r="H34" s="377">
        <v>1</v>
      </c>
      <c r="I34" s="377">
        <v>10</v>
      </c>
      <c r="J34" s="615">
        <v>0.6</v>
      </c>
      <c r="K34" s="616"/>
      <c r="L34" s="379">
        <v>0.2</v>
      </c>
      <c r="M34" s="377">
        <v>2</v>
      </c>
    </row>
    <row r="35" spans="1:13">
      <c r="A35" s="613" t="s">
        <v>1514</v>
      </c>
      <c r="B35" s="614"/>
      <c r="C35" s="373">
        <v>77400</v>
      </c>
      <c r="D35" s="374">
        <v>75500</v>
      </c>
      <c r="E35" s="375">
        <v>78800</v>
      </c>
      <c r="F35" s="455" t="s">
        <v>1499</v>
      </c>
      <c r="G35" s="376">
        <v>3</v>
      </c>
      <c r="H35" s="377">
        <v>1</v>
      </c>
      <c r="I35" s="377">
        <v>10</v>
      </c>
      <c r="J35" s="615">
        <v>0.6</v>
      </c>
      <c r="K35" s="616"/>
      <c r="L35" s="379">
        <v>0.2</v>
      </c>
      <c r="M35" s="377">
        <v>2</v>
      </c>
    </row>
    <row r="36" spans="1:13" ht="20.25" customHeight="1">
      <c r="A36" s="613" t="s">
        <v>1515</v>
      </c>
      <c r="B36" s="614"/>
      <c r="C36" s="373">
        <v>63100</v>
      </c>
      <c r="D36" s="374">
        <v>61600</v>
      </c>
      <c r="E36" s="375">
        <v>65600</v>
      </c>
      <c r="F36" s="455" t="s">
        <v>1499</v>
      </c>
      <c r="G36" s="376">
        <v>1</v>
      </c>
      <c r="H36" s="379">
        <v>0.3</v>
      </c>
      <c r="I36" s="377">
        <v>3</v>
      </c>
      <c r="J36" s="615">
        <v>0.1</v>
      </c>
      <c r="K36" s="616"/>
      <c r="L36" s="389">
        <v>0.03</v>
      </c>
      <c r="M36" s="379">
        <v>0.3</v>
      </c>
    </row>
    <row r="37" spans="1:13">
      <c r="A37" s="613" t="s">
        <v>1516</v>
      </c>
      <c r="B37" s="614"/>
      <c r="C37" s="373">
        <v>61600</v>
      </c>
      <c r="D37" s="374">
        <v>56500</v>
      </c>
      <c r="E37" s="375">
        <v>68600</v>
      </c>
      <c r="F37" s="455" t="s">
        <v>1499</v>
      </c>
      <c r="G37" s="376">
        <v>1</v>
      </c>
      <c r="H37" s="379">
        <v>0.3</v>
      </c>
      <c r="I37" s="377">
        <v>3</v>
      </c>
      <c r="J37" s="615">
        <v>0.1</v>
      </c>
      <c r="K37" s="616"/>
      <c r="L37" s="389">
        <v>0.03</v>
      </c>
      <c r="M37" s="379">
        <v>0.3</v>
      </c>
    </row>
    <row r="38" spans="1:13">
      <c r="A38" s="613" t="s">
        <v>1517</v>
      </c>
      <c r="B38" s="614"/>
      <c r="C38" s="373">
        <v>73300</v>
      </c>
      <c r="D38" s="374">
        <v>69300</v>
      </c>
      <c r="E38" s="375">
        <v>76300</v>
      </c>
      <c r="F38" s="455" t="s">
        <v>1499</v>
      </c>
      <c r="G38" s="376">
        <v>3</v>
      </c>
      <c r="H38" s="377">
        <v>1</v>
      </c>
      <c r="I38" s="377">
        <v>10</v>
      </c>
      <c r="J38" s="615">
        <v>0.6</v>
      </c>
      <c r="K38" s="616"/>
      <c r="L38" s="379">
        <v>0.2</v>
      </c>
      <c r="M38" s="377">
        <v>2</v>
      </c>
    </row>
    <row r="39" spans="1:13">
      <c r="A39" s="613" t="s">
        <v>1518</v>
      </c>
      <c r="B39" s="614"/>
      <c r="C39" s="373">
        <v>80700</v>
      </c>
      <c r="D39" s="374">
        <v>73000</v>
      </c>
      <c r="E39" s="375">
        <v>89900</v>
      </c>
      <c r="F39" s="455" t="s">
        <v>1499</v>
      </c>
      <c r="G39" s="376">
        <v>3</v>
      </c>
      <c r="H39" s="377">
        <v>1</v>
      </c>
      <c r="I39" s="377">
        <v>10</v>
      </c>
      <c r="J39" s="615">
        <v>0.6</v>
      </c>
      <c r="K39" s="616"/>
      <c r="L39" s="379">
        <v>0.2</v>
      </c>
      <c r="M39" s="377">
        <v>2</v>
      </c>
    </row>
    <row r="40" spans="1:13">
      <c r="A40" s="613" t="s">
        <v>1519</v>
      </c>
      <c r="B40" s="614"/>
      <c r="C40" s="373">
        <v>73300</v>
      </c>
      <c r="D40" s="374">
        <v>71900</v>
      </c>
      <c r="E40" s="375">
        <v>75200</v>
      </c>
      <c r="F40" s="455" t="s">
        <v>1499</v>
      </c>
      <c r="G40" s="376">
        <v>3</v>
      </c>
      <c r="H40" s="377">
        <v>1</v>
      </c>
      <c r="I40" s="377">
        <v>10</v>
      </c>
      <c r="J40" s="615">
        <v>0.6</v>
      </c>
      <c r="K40" s="616"/>
      <c r="L40" s="379">
        <v>0.2</v>
      </c>
      <c r="M40" s="377">
        <v>2</v>
      </c>
    </row>
    <row r="41" spans="1:13">
      <c r="A41" s="613" t="s">
        <v>1520</v>
      </c>
      <c r="B41" s="614"/>
      <c r="C41" s="380" t="s">
        <v>1521</v>
      </c>
      <c r="D41" s="374">
        <v>82900</v>
      </c>
      <c r="E41" s="375">
        <v>115000</v>
      </c>
      <c r="F41" s="455" t="s">
        <v>1499</v>
      </c>
      <c r="G41" s="376">
        <v>3</v>
      </c>
      <c r="H41" s="377">
        <v>1</v>
      </c>
      <c r="I41" s="377">
        <v>10</v>
      </c>
      <c r="J41" s="615">
        <v>0.6</v>
      </c>
      <c r="K41" s="616"/>
      <c r="L41" s="379">
        <v>0.2</v>
      </c>
      <c r="M41" s="377">
        <v>2</v>
      </c>
    </row>
    <row r="42" spans="1:13">
      <c r="A42" s="613" t="s">
        <v>1522</v>
      </c>
      <c r="B42" s="614"/>
      <c r="C42" s="390">
        <v>73300</v>
      </c>
      <c r="D42" s="383">
        <v>68900</v>
      </c>
      <c r="E42" s="384">
        <v>76600</v>
      </c>
      <c r="F42" s="456" t="s">
        <v>1499</v>
      </c>
      <c r="G42" s="385">
        <v>3</v>
      </c>
      <c r="H42" s="386">
        <v>1</v>
      </c>
      <c r="I42" s="386">
        <v>10</v>
      </c>
      <c r="J42" s="620">
        <v>0.6</v>
      </c>
      <c r="K42" s="621"/>
      <c r="L42" s="388">
        <v>0.2</v>
      </c>
      <c r="M42" s="386">
        <v>2</v>
      </c>
    </row>
    <row r="43" spans="1:13" ht="20.399999999999999">
      <c r="A43" s="622" t="s">
        <v>1523</v>
      </c>
      <c r="B43" s="452" t="s">
        <v>1524</v>
      </c>
      <c r="C43" s="380" t="s">
        <v>1525</v>
      </c>
      <c r="D43" s="374">
        <v>48200</v>
      </c>
      <c r="E43" s="375">
        <v>69000</v>
      </c>
      <c r="F43" s="455" t="s">
        <v>1499</v>
      </c>
      <c r="G43" s="376">
        <v>1</v>
      </c>
      <c r="H43" s="379">
        <v>0.3</v>
      </c>
      <c r="I43" s="377">
        <v>3</v>
      </c>
      <c r="J43" s="615">
        <v>0.1</v>
      </c>
      <c r="K43" s="616"/>
      <c r="L43" s="389">
        <v>0.03</v>
      </c>
      <c r="M43" s="379">
        <v>0.3</v>
      </c>
    </row>
    <row r="44" spans="1:13" ht="19.2">
      <c r="A44" s="623"/>
      <c r="B44" s="381" t="s">
        <v>1526</v>
      </c>
      <c r="C44" s="373">
        <v>73300</v>
      </c>
      <c r="D44" s="374">
        <v>72200</v>
      </c>
      <c r="E44" s="375">
        <v>74400</v>
      </c>
      <c r="F44" s="455" t="s">
        <v>1499</v>
      </c>
      <c r="G44" s="376">
        <v>3</v>
      </c>
      <c r="H44" s="377">
        <v>1</v>
      </c>
      <c r="I44" s="377">
        <v>10</v>
      </c>
      <c r="J44" s="615">
        <v>0.6</v>
      </c>
      <c r="K44" s="616"/>
      <c r="L44" s="379">
        <v>0.2</v>
      </c>
      <c r="M44" s="377">
        <v>2</v>
      </c>
    </row>
    <row r="45" spans="1:13" ht="19.2">
      <c r="A45" s="623"/>
      <c r="B45" s="381" t="s">
        <v>1527</v>
      </c>
      <c r="C45" s="390">
        <v>73300</v>
      </c>
      <c r="D45" s="383">
        <v>72200</v>
      </c>
      <c r="E45" s="384">
        <v>74400</v>
      </c>
      <c r="F45" s="456" t="s">
        <v>1499</v>
      </c>
      <c r="G45" s="385">
        <v>3</v>
      </c>
      <c r="H45" s="386">
        <v>1</v>
      </c>
      <c r="I45" s="386">
        <v>10</v>
      </c>
      <c r="J45" s="620">
        <v>0.6</v>
      </c>
      <c r="K45" s="621"/>
      <c r="L45" s="388">
        <v>0.2</v>
      </c>
      <c r="M45" s="386">
        <v>2</v>
      </c>
    </row>
    <row r="46" spans="1:13" ht="28.8">
      <c r="A46" s="624"/>
      <c r="B46" s="381" t="s">
        <v>1528</v>
      </c>
      <c r="C46" s="390">
        <v>73300</v>
      </c>
      <c r="D46" s="383">
        <v>72200</v>
      </c>
      <c r="E46" s="384">
        <v>74400</v>
      </c>
      <c r="F46" s="456" t="s">
        <v>1499</v>
      </c>
      <c r="G46" s="385">
        <v>3</v>
      </c>
      <c r="H46" s="386">
        <v>1</v>
      </c>
      <c r="I46" s="386">
        <v>10</v>
      </c>
      <c r="J46" s="620">
        <v>0.6</v>
      </c>
      <c r="K46" s="621"/>
      <c r="L46" s="388">
        <v>0.2</v>
      </c>
      <c r="M46" s="386">
        <v>2</v>
      </c>
    </row>
    <row r="47" spans="1:13">
      <c r="A47" s="613" t="s">
        <v>1529</v>
      </c>
      <c r="B47" s="614"/>
      <c r="C47" s="373">
        <v>98300</v>
      </c>
      <c r="D47" s="374">
        <v>94600</v>
      </c>
      <c r="E47" s="375">
        <v>101000</v>
      </c>
      <c r="F47" s="625">
        <v>1</v>
      </c>
      <c r="G47" s="626"/>
      <c r="H47" s="379">
        <v>0.3</v>
      </c>
      <c r="I47" s="377">
        <v>3</v>
      </c>
      <c r="J47" s="455" t="s">
        <v>1499</v>
      </c>
      <c r="K47" s="378">
        <v>1.5</v>
      </c>
      <c r="L47" s="379">
        <v>0.5</v>
      </c>
      <c r="M47" s="377">
        <v>5</v>
      </c>
    </row>
    <row r="48" spans="1:13">
      <c r="A48" s="613" t="s">
        <v>1530</v>
      </c>
      <c r="B48" s="614"/>
      <c r="C48" s="373">
        <v>94600</v>
      </c>
      <c r="D48" s="374">
        <v>87300</v>
      </c>
      <c r="E48" s="375">
        <v>101000</v>
      </c>
      <c r="F48" s="625">
        <v>1</v>
      </c>
      <c r="G48" s="626"/>
      <c r="H48" s="379">
        <v>0.3</v>
      </c>
      <c r="I48" s="377">
        <v>3</v>
      </c>
      <c r="J48" s="455" t="s">
        <v>1499</v>
      </c>
      <c r="K48" s="378">
        <v>1.5</v>
      </c>
      <c r="L48" s="379">
        <v>0.5</v>
      </c>
      <c r="M48" s="377">
        <v>5</v>
      </c>
    </row>
    <row r="49" spans="1:13">
      <c r="A49" s="613" t="s">
        <v>1531</v>
      </c>
      <c r="B49" s="614"/>
      <c r="C49" s="373">
        <v>94600</v>
      </c>
      <c r="D49" s="374">
        <v>89500</v>
      </c>
      <c r="E49" s="375">
        <v>99700</v>
      </c>
      <c r="F49" s="625">
        <v>1</v>
      </c>
      <c r="G49" s="626"/>
      <c r="H49" s="379">
        <v>0.3</v>
      </c>
      <c r="I49" s="377">
        <v>3</v>
      </c>
      <c r="J49" s="455" t="s">
        <v>1499</v>
      </c>
      <c r="K49" s="378">
        <v>1.5</v>
      </c>
      <c r="L49" s="379">
        <v>0.5</v>
      </c>
      <c r="M49" s="377">
        <v>5</v>
      </c>
    </row>
    <row r="50" spans="1:13">
      <c r="A50" s="613" t="s">
        <v>1532</v>
      </c>
      <c r="B50" s="614"/>
      <c r="C50" s="373">
        <v>96100</v>
      </c>
      <c r="D50" s="374">
        <v>92800</v>
      </c>
      <c r="E50" s="375">
        <v>100000</v>
      </c>
      <c r="F50" s="625">
        <v>1</v>
      </c>
      <c r="G50" s="626"/>
      <c r="H50" s="379">
        <v>0.3</v>
      </c>
      <c r="I50" s="377">
        <v>3</v>
      </c>
      <c r="J50" s="455" t="s">
        <v>1499</v>
      </c>
      <c r="K50" s="378">
        <v>1.5</v>
      </c>
      <c r="L50" s="379">
        <v>0.5</v>
      </c>
      <c r="M50" s="377">
        <v>5</v>
      </c>
    </row>
    <row r="51" spans="1:13">
      <c r="A51" s="613" t="s">
        <v>1533</v>
      </c>
      <c r="B51" s="614"/>
      <c r="C51" s="374">
        <v>101000</v>
      </c>
      <c r="D51" s="374">
        <v>90900</v>
      </c>
      <c r="E51" s="375">
        <v>115000</v>
      </c>
      <c r="F51" s="625">
        <v>1</v>
      </c>
      <c r="G51" s="626"/>
      <c r="H51" s="379">
        <v>0.3</v>
      </c>
      <c r="I51" s="377">
        <v>3</v>
      </c>
      <c r="J51" s="455" t="s">
        <v>1499</v>
      </c>
      <c r="K51" s="378">
        <v>1.5</v>
      </c>
      <c r="L51" s="379">
        <v>0.5</v>
      </c>
      <c r="M51" s="377">
        <v>5</v>
      </c>
    </row>
    <row r="52" spans="1:13">
      <c r="A52" s="613" t="s">
        <v>1534</v>
      </c>
      <c r="B52" s="614"/>
      <c r="C52" s="383">
        <v>107000</v>
      </c>
      <c r="D52" s="383">
        <v>90200</v>
      </c>
      <c r="E52" s="384">
        <v>125000</v>
      </c>
      <c r="F52" s="627">
        <v>1</v>
      </c>
      <c r="G52" s="628"/>
      <c r="H52" s="388">
        <v>0.3</v>
      </c>
      <c r="I52" s="386">
        <v>3</v>
      </c>
      <c r="J52" s="456" t="s">
        <v>1499</v>
      </c>
      <c r="K52" s="387">
        <v>1.5</v>
      </c>
      <c r="L52" s="388">
        <v>0.5</v>
      </c>
      <c r="M52" s="386">
        <v>5</v>
      </c>
    </row>
    <row r="53" spans="1:13">
      <c r="A53" s="613" t="s">
        <v>1535</v>
      </c>
      <c r="B53" s="614"/>
      <c r="C53" s="373">
        <v>97500</v>
      </c>
      <c r="D53" s="374">
        <v>87300</v>
      </c>
      <c r="E53" s="375">
        <v>109000</v>
      </c>
      <c r="F53" s="455" t="s">
        <v>1536</v>
      </c>
      <c r="G53" s="376">
        <v>1</v>
      </c>
      <c r="H53" s="379">
        <v>0.3</v>
      </c>
      <c r="I53" s="377">
        <v>3</v>
      </c>
      <c r="J53" s="455" t="s">
        <v>1499</v>
      </c>
      <c r="K53" s="378">
        <v>1.5</v>
      </c>
      <c r="L53" s="379">
        <v>0.5</v>
      </c>
      <c r="M53" s="377">
        <v>5</v>
      </c>
    </row>
    <row r="54" spans="1:13">
      <c r="A54" s="613" t="s">
        <v>1537</v>
      </c>
      <c r="B54" s="614"/>
      <c r="C54" s="373">
        <v>97500</v>
      </c>
      <c r="D54" s="374">
        <v>87300</v>
      </c>
      <c r="E54" s="375">
        <v>109000</v>
      </c>
      <c r="F54" s="625">
        <v>1</v>
      </c>
      <c r="G54" s="626"/>
      <c r="H54" s="379">
        <v>0.3</v>
      </c>
      <c r="I54" s="377">
        <v>3</v>
      </c>
      <c r="J54" s="455" t="s">
        <v>1536</v>
      </c>
      <c r="K54" s="378">
        <v>1.5</v>
      </c>
      <c r="L54" s="379">
        <v>0.5</v>
      </c>
      <c r="M54" s="377">
        <v>5</v>
      </c>
    </row>
    <row r="55" spans="1:13" ht="38.4">
      <c r="A55" s="634" t="s">
        <v>1538</v>
      </c>
      <c r="B55" s="381" t="s">
        <v>1539</v>
      </c>
      <c r="C55" s="382" t="s">
        <v>1540</v>
      </c>
      <c r="D55" s="383">
        <v>95700</v>
      </c>
      <c r="E55" s="384">
        <v>119000</v>
      </c>
      <c r="F55" s="627">
        <v>1</v>
      </c>
      <c r="G55" s="628"/>
      <c r="H55" s="388">
        <v>0.3</v>
      </c>
      <c r="I55" s="386">
        <v>3</v>
      </c>
      <c r="J55" s="456" t="s">
        <v>1499</v>
      </c>
      <c r="K55" s="387">
        <v>1.5</v>
      </c>
      <c r="L55" s="388">
        <v>0.5</v>
      </c>
      <c r="M55" s="386">
        <v>5</v>
      </c>
    </row>
    <row r="56" spans="1:13">
      <c r="A56" s="635"/>
      <c r="B56" s="452" t="s">
        <v>1541</v>
      </c>
      <c r="C56" s="380" t="s">
        <v>1540</v>
      </c>
      <c r="D56" s="374">
        <v>95700</v>
      </c>
      <c r="E56" s="375">
        <v>119000</v>
      </c>
      <c r="F56" s="455" t="s">
        <v>1499</v>
      </c>
      <c r="G56" s="376">
        <v>1</v>
      </c>
      <c r="H56" s="379">
        <v>0.3</v>
      </c>
      <c r="I56" s="377">
        <v>3</v>
      </c>
      <c r="J56" s="615">
        <v>0.1</v>
      </c>
      <c r="K56" s="616"/>
      <c r="L56" s="389">
        <v>0.03</v>
      </c>
      <c r="M56" s="379">
        <v>0.3</v>
      </c>
    </row>
    <row r="57" spans="1:13">
      <c r="A57" s="631" t="s">
        <v>1542</v>
      </c>
      <c r="B57" s="632"/>
      <c r="C57" s="632"/>
      <c r="D57" s="632"/>
      <c r="E57" s="632"/>
      <c r="F57" s="632"/>
      <c r="G57" s="632"/>
      <c r="H57" s="632"/>
      <c r="I57" s="632"/>
      <c r="J57" s="632"/>
      <c r="K57" s="632"/>
      <c r="L57" s="632"/>
      <c r="M57" s="633"/>
    </row>
  </sheetData>
  <sheetProtection algorithmName="SHA-512" hashValue="9CP/Skg13Hgd8zBfObI/KeIzBYguLbmrgoFmYfdrA3jY21GIc1krCtkbA+xSkhKGvJyzrNa2ysByVH7DVeVn6g==" saltValue="GD15KNbkhKPahlYENVVv9g==" spinCount="100000" sheet="1" objects="1" scenarios="1" autoFilter="0"/>
  <mergeCells count="100">
    <mergeCell ref="A1:M1"/>
    <mergeCell ref="A2:B3"/>
    <mergeCell ref="C2:E2"/>
    <mergeCell ref="F2:I2"/>
    <mergeCell ref="J2:M2"/>
    <mergeCell ref="F3:G3"/>
    <mergeCell ref="J3:K3"/>
    <mergeCell ref="A4:B4"/>
    <mergeCell ref="A5:A8"/>
    <mergeCell ref="J5:K5"/>
    <mergeCell ref="J6:K6"/>
    <mergeCell ref="J7:K7"/>
    <mergeCell ref="J8:K8"/>
    <mergeCell ref="A9:B9"/>
    <mergeCell ref="J9:K9"/>
    <mergeCell ref="A10:B10"/>
    <mergeCell ref="F10:G10"/>
    <mergeCell ref="J10:K10"/>
    <mergeCell ref="A11:B11"/>
    <mergeCell ref="F11:G11"/>
    <mergeCell ref="J11:K11"/>
    <mergeCell ref="A12:B12"/>
    <mergeCell ref="F12:G12"/>
    <mergeCell ref="J12:K12"/>
    <mergeCell ref="A13:B13"/>
    <mergeCell ref="A14:A17"/>
    <mergeCell ref="F14:G14"/>
    <mergeCell ref="J14:K14"/>
    <mergeCell ref="F16:G16"/>
    <mergeCell ref="J16:K16"/>
    <mergeCell ref="F17:G17"/>
    <mergeCell ref="J17:K17"/>
    <mergeCell ref="A18:A20"/>
    <mergeCell ref="J18:K18"/>
    <mergeCell ref="J19:K19"/>
    <mergeCell ref="J20:K20"/>
    <mergeCell ref="A21:A23"/>
    <mergeCell ref="J21:K21"/>
    <mergeCell ref="J22:K22"/>
    <mergeCell ref="J23:K23"/>
    <mergeCell ref="F24:G24"/>
    <mergeCell ref="J24:K24"/>
    <mergeCell ref="A57:M57"/>
    <mergeCell ref="A53:B53"/>
    <mergeCell ref="A54:B54"/>
    <mergeCell ref="F54:G54"/>
    <mergeCell ref="A47:B47"/>
    <mergeCell ref="F47:G47"/>
    <mergeCell ref="A48:B48"/>
    <mergeCell ref="F48:G48"/>
    <mergeCell ref="A55:A56"/>
    <mergeCell ref="F55:G55"/>
    <mergeCell ref="J56:K56"/>
    <mergeCell ref="A50:B50"/>
    <mergeCell ref="F50:G50"/>
    <mergeCell ref="A51:B51"/>
    <mergeCell ref="F51:G51"/>
    <mergeCell ref="A52:B52"/>
    <mergeCell ref="F52:G52"/>
    <mergeCell ref="A49:B49"/>
    <mergeCell ref="F49:G49"/>
    <mergeCell ref="A41:B41"/>
    <mergeCell ref="J41:K41"/>
    <mergeCell ref="A42:B42"/>
    <mergeCell ref="J42:K42"/>
    <mergeCell ref="A43:A46"/>
    <mergeCell ref="J43:K43"/>
    <mergeCell ref="J44:K44"/>
    <mergeCell ref="J45:K45"/>
    <mergeCell ref="J46:K46"/>
    <mergeCell ref="A38:B38"/>
    <mergeCell ref="J38:K38"/>
    <mergeCell ref="A39:B39"/>
    <mergeCell ref="J39:K39"/>
    <mergeCell ref="A40:B40"/>
    <mergeCell ref="J40:K40"/>
    <mergeCell ref="A35:B35"/>
    <mergeCell ref="J35:K35"/>
    <mergeCell ref="A36:B36"/>
    <mergeCell ref="J36:K36"/>
    <mergeCell ref="A37:B37"/>
    <mergeCell ref="J37:K37"/>
    <mergeCell ref="A32:B32"/>
    <mergeCell ref="J32:K32"/>
    <mergeCell ref="A33:B33"/>
    <mergeCell ref="J33:K33"/>
    <mergeCell ref="A34:B34"/>
    <mergeCell ref="J34:K34"/>
    <mergeCell ref="A28:A30"/>
    <mergeCell ref="J28:K28"/>
    <mergeCell ref="J29:K29"/>
    <mergeCell ref="J30:K30"/>
    <mergeCell ref="A31:B31"/>
    <mergeCell ref="J31:K31"/>
    <mergeCell ref="A25:B25"/>
    <mergeCell ref="J25:K25"/>
    <mergeCell ref="A26:B26"/>
    <mergeCell ref="J26:K26"/>
    <mergeCell ref="A27:B27"/>
    <mergeCell ref="J27:K2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sheetPr>
  <dimension ref="A2:K52"/>
  <sheetViews>
    <sheetView showGridLines="0" workbookViewId="0"/>
  </sheetViews>
  <sheetFormatPr baseColWidth="10" defaultColWidth="11.44140625" defaultRowHeight="14.4"/>
  <cols>
    <col min="1" max="1" width="5.33203125" customWidth="1"/>
    <col min="2" max="2" width="56.5546875" bestFit="1" customWidth="1"/>
    <col min="3" max="3" width="69.88671875" customWidth="1"/>
    <col min="4" max="4" width="45.44140625" customWidth="1"/>
    <col min="5" max="5" width="34.109375" customWidth="1"/>
    <col min="6" max="6" width="32.5546875" bestFit="1" customWidth="1"/>
    <col min="7" max="8" width="32.5546875" customWidth="1"/>
    <col min="9" max="9" width="36" bestFit="1" customWidth="1"/>
    <col min="10" max="10" width="40" bestFit="1" customWidth="1"/>
    <col min="11" max="11" width="147.6640625" bestFit="1" customWidth="1"/>
  </cols>
  <sheetData>
    <row r="2" spans="1:11">
      <c r="B2" s="1" t="s">
        <v>358</v>
      </c>
    </row>
    <row r="3" spans="1:11">
      <c r="B3" s="1" t="s">
        <v>210</v>
      </c>
    </row>
    <row r="4" spans="1:11">
      <c r="B4" s="1" t="s">
        <v>211</v>
      </c>
    </row>
    <row r="6" spans="1:11">
      <c r="A6" s="414"/>
      <c r="B6" s="71" t="s">
        <v>362</v>
      </c>
      <c r="C6" s="74" t="s">
        <v>1543</v>
      </c>
      <c r="D6" s="75" t="s">
        <v>1544</v>
      </c>
      <c r="E6" s="71" t="s">
        <v>93</v>
      </c>
      <c r="F6" s="74" t="s">
        <v>1545</v>
      </c>
      <c r="G6" s="75" t="s">
        <v>1546</v>
      </c>
      <c r="H6" s="71" t="s">
        <v>94</v>
      </c>
      <c r="I6" s="71" t="s">
        <v>1547</v>
      </c>
      <c r="J6" s="74" t="s">
        <v>96</v>
      </c>
      <c r="K6" s="75" t="s">
        <v>97</v>
      </c>
    </row>
    <row r="7" spans="1:11">
      <c r="B7" s="402" t="s">
        <v>212</v>
      </c>
      <c r="C7" s="72" t="s">
        <v>1548</v>
      </c>
      <c r="D7" s="72" t="s">
        <v>102</v>
      </c>
      <c r="E7" s="72" t="s">
        <v>106</v>
      </c>
      <c r="F7" s="337">
        <f>'3.1 Material use'!D72</f>
        <v>3164.7804900000001</v>
      </c>
      <c r="G7" s="403" t="s">
        <v>102</v>
      </c>
      <c r="H7" s="780">
        <f>IF(F7="-",G7,F7)</f>
        <v>3164.7804900000001</v>
      </c>
      <c r="I7" s="109" t="str">
        <f t="shared" ref="I7:I16" si="0">"kgCO2e/"&amp;E7</f>
        <v>kgCO2e/toneladas</v>
      </c>
      <c r="J7" s="402" t="s">
        <v>1549</v>
      </c>
      <c r="K7" s="72" t="s">
        <v>102</v>
      </c>
    </row>
    <row r="8" spans="1:11">
      <c r="B8" s="402" t="s">
        <v>213</v>
      </c>
      <c r="C8" s="72" t="s">
        <v>1550</v>
      </c>
      <c r="D8" s="72" t="s">
        <v>102</v>
      </c>
      <c r="E8" s="72" t="s">
        <v>106</v>
      </c>
      <c r="F8" s="337">
        <f>'3.1 Material use'!D67</f>
        <v>2854.91851</v>
      </c>
      <c r="G8" s="403" t="s">
        <v>102</v>
      </c>
      <c r="H8" s="780">
        <f t="shared" ref="H8:H52" si="1">IF(F8="-",G8,F8)</f>
        <v>2854.91851</v>
      </c>
      <c r="I8" s="109" t="str">
        <f t="shared" si="0"/>
        <v>kgCO2e/toneladas</v>
      </c>
      <c r="J8" s="72" t="s">
        <v>1549</v>
      </c>
      <c r="K8" s="72" t="s">
        <v>102</v>
      </c>
    </row>
    <row r="9" spans="1:11">
      <c r="B9" s="402" t="s">
        <v>214</v>
      </c>
      <c r="C9" s="72" t="s">
        <v>1551</v>
      </c>
      <c r="D9" s="72" t="s">
        <v>102</v>
      </c>
      <c r="E9" s="72" t="s">
        <v>106</v>
      </c>
      <c r="F9" s="337">
        <f>'3.1 Material use'!G67</f>
        <v>1726.72731</v>
      </c>
      <c r="G9" s="403" t="s">
        <v>102</v>
      </c>
      <c r="H9" s="780">
        <f t="shared" si="1"/>
        <v>1726.72731</v>
      </c>
      <c r="I9" s="109" t="str">
        <f t="shared" si="0"/>
        <v>kgCO2e/toneladas</v>
      </c>
      <c r="J9" s="72" t="s">
        <v>1549</v>
      </c>
      <c r="K9" s="72" t="s">
        <v>102</v>
      </c>
    </row>
    <row r="10" spans="1:11">
      <c r="B10" s="402" t="s">
        <v>215</v>
      </c>
      <c r="C10" s="72" t="s">
        <v>1552</v>
      </c>
      <c r="D10" s="72" t="s">
        <v>102</v>
      </c>
      <c r="E10" s="72" t="s">
        <v>106</v>
      </c>
      <c r="F10" s="337">
        <f>'3.1 Material use'!D64</f>
        <v>9106.9185099999995</v>
      </c>
      <c r="G10" s="403" t="s">
        <v>102</v>
      </c>
      <c r="H10" s="780">
        <f t="shared" si="1"/>
        <v>9106.9185099999995</v>
      </c>
      <c r="I10" s="109" t="str">
        <f t="shared" si="0"/>
        <v>kgCO2e/toneladas</v>
      </c>
      <c r="J10" s="72" t="s">
        <v>1549</v>
      </c>
      <c r="K10" s="72" t="s">
        <v>102</v>
      </c>
    </row>
    <row r="11" spans="1:11">
      <c r="B11" s="402" t="s">
        <v>216</v>
      </c>
      <c r="C11" s="402" t="s">
        <v>102</v>
      </c>
      <c r="D11" s="402" t="s">
        <v>1553</v>
      </c>
      <c r="E11" s="402" t="s">
        <v>107</v>
      </c>
      <c r="F11" s="781" t="s">
        <v>102</v>
      </c>
      <c r="G11" s="782">
        <f>'3.1 Fertilizantes'!D6</f>
        <v>2.1339999999999999</v>
      </c>
      <c r="H11" s="780">
        <f t="shared" si="1"/>
        <v>2.1339999999999999</v>
      </c>
      <c r="I11" s="109" t="str">
        <f t="shared" si="0"/>
        <v>kgCO2e/kilogramos</v>
      </c>
      <c r="J11" s="402" t="s">
        <v>102</v>
      </c>
      <c r="K11" s="402" t="s">
        <v>1554</v>
      </c>
    </row>
    <row r="12" spans="1:11">
      <c r="B12" s="402" t="s">
        <v>217</v>
      </c>
      <c r="C12" s="402" t="s">
        <v>102</v>
      </c>
      <c r="D12" s="402" t="s">
        <v>217</v>
      </c>
      <c r="E12" s="402" t="s">
        <v>107</v>
      </c>
      <c r="F12" s="781" t="s">
        <v>102</v>
      </c>
      <c r="G12" s="109">
        <v>1.7583</v>
      </c>
      <c r="H12" s="780">
        <f t="shared" si="1"/>
        <v>1.7583</v>
      </c>
      <c r="I12" s="109" t="str">
        <f t="shared" si="0"/>
        <v>kgCO2e/kilogramos</v>
      </c>
      <c r="J12" s="402" t="s">
        <v>102</v>
      </c>
      <c r="K12" s="402" t="s">
        <v>1555</v>
      </c>
    </row>
    <row r="13" spans="1:11">
      <c r="B13" s="402" t="s">
        <v>218</v>
      </c>
      <c r="C13" s="402" t="s">
        <v>102</v>
      </c>
      <c r="D13" s="402" t="s">
        <v>1556</v>
      </c>
      <c r="E13" s="402" t="s">
        <v>107</v>
      </c>
      <c r="F13" s="781" t="s">
        <v>102</v>
      </c>
      <c r="G13" s="109">
        <f>'3.1 Fertilizantes'!D7</f>
        <v>1.0129999999999999</v>
      </c>
      <c r="H13" s="780">
        <f t="shared" si="1"/>
        <v>1.0129999999999999</v>
      </c>
      <c r="I13" s="109" t="str">
        <f t="shared" si="0"/>
        <v>kgCO2e/kilogramos</v>
      </c>
      <c r="J13" s="72" t="s">
        <v>102</v>
      </c>
      <c r="K13" s="402" t="s">
        <v>1554</v>
      </c>
    </row>
    <row r="14" spans="1:11">
      <c r="A14" s="414"/>
      <c r="B14" s="402" t="s">
        <v>219</v>
      </c>
      <c r="C14" s="402" t="s">
        <v>102</v>
      </c>
      <c r="D14" s="402" t="s">
        <v>219</v>
      </c>
      <c r="E14" s="402" t="s">
        <v>107</v>
      </c>
      <c r="F14" s="781" t="s">
        <v>102</v>
      </c>
      <c r="G14" s="109">
        <v>0.33939999999999998</v>
      </c>
      <c r="H14" s="780">
        <f t="shared" si="1"/>
        <v>0.33939999999999998</v>
      </c>
      <c r="I14" s="109" t="str">
        <f t="shared" si="0"/>
        <v>kgCO2e/kilogramos</v>
      </c>
      <c r="J14" s="402" t="s">
        <v>102</v>
      </c>
      <c r="K14" s="402" t="s">
        <v>1555</v>
      </c>
    </row>
    <row r="15" spans="1:11">
      <c r="A15" s="414"/>
      <c r="B15" s="402" t="s">
        <v>220</v>
      </c>
      <c r="C15" s="402" t="s">
        <v>102</v>
      </c>
      <c r="D15" s="402" t="s">
        <v>220</v>
      </c>
      <c r="E15" s="402" t="s">
        <v>107</v>
      </c>
      <c r="F15" s="781" t="s">
        <v>102</v>
      </c>
      <c r="G15" s="109">
        <v>0.54410000000000003</v>
      </c>
      <c r="H15" s="780">
        <f t="shared" si="1"/>
        <v>0.54410000000000003</v>
      </c>
      <c r="I15" s="109" t="str">
        <f t="shared" si="0"/>
        <v>kgCO2e/kilogramos</v>
      </c>
      <c r="J15" s="402" t="s">
        <v>102</v>
      </c>
      <c r="K15" s="402" t="s">
        <v>1555</v>
      </c>
    </row>
    <row r="16" spans="1:11">
      <c r="B16" s="402" t="s">
        <v>221</v>
      </c>
      <c r="C16" s="72" t="s">
        <v>1557</v>
      </c>
      <c r="D16" s="72" t="s">
        <v>102</v>
      </c>
      <c r="E16" s="72" t="s">
        <v>106</v>
      </c>
      <c r="F16" s="337">
        <f>'3.1 Material use'!D73</f>
        <v>2910.4652900000001</v>
      </c>
      <c r="G16" s="403" t="s">
        <v>102</v>
      </c>
      <c r="H16" s="780">
        <f t="shared" si="1"/>
        <v>2910.4652900000001</v>
      </c>
      <c r="I16" s="109" t="str">
        <f t="shared" si="0"/>
        <v>kgCO2e/toneladas</v>
      </c>
      <c r="J16" s="72" t="s">
        <v>1549</v>
      </c>
      <c r="K16" s="72" t="s">
        <v>102</v>
      </c>
    </row>
    <row r="17" spans="2:11">
      <c r="B17" s="402" t="s">
        <v>222</v>
      </c>
      <c r="C17" s="72" t="s">
        <v>1558</v>
      </c>
      <c r="D17" s="72" t="s">
        <v>102</v>
      </c>
      <c r="E17" s="72" t="s">
        <v>106</v>
      </c>
      <c r="F17" s="337">
        <f>'3.1 Material use'!D74</f>
        <v>3345.3083700000002</v>
      </c>
      <c r="G17" s="403" t="s">
        <v>102</v>
      </c>
      <c r="H17" s="780">
        <f t="shared" si="1"/>
        <v>3345.3083700000002</v>
      </c>
      <c r="I17" s="109" t="str">
        <f t="shared" ref="I17" si="2">"kgCO2e/"&amp;E17</f>
        <v>kgCO2e/toneladas</v>
      </c>
      <c r="J17" s="72" t="s">
        <v>1549</v>
      </c>
      <c r="K17" s="72" t="s">
        <v>102</v>
      </c>
    </row>
    <row r="18" spans="2:11">
      <c r="B18" s="402" t="s">
        <v>223</v>
      </c>
      <c r="C18" s="72" t="s">
        <v>1559</v>
      </c>
      <c r="D18" s="72" t="s">
        <v>102</v>
      </c>
      <c r="E18" s="72" t="s">
        <v>106</v>
      </c>
      <c r="F18" s="337">
        <f>'3.1 Material use'!D75</f>
        <v>3086.3903799999998</v>
      </c>
      <c r="G18" s="403" t="s">
        <v>102</v>
      </c>
      <c r="H18" s="780">
        <f t="shared" si="1"/>
        <v>3086.3903799999998</v>
      </c>
      <c r="I18" s="109" t="str">
        <f t="shared" ref="I18:I52" si="3">"kgCO2e/"&amp;E18</f>
        <v>kgCO2e/toneladas</v>
      </c>
      <c r="J18" s="72" t="s">
        <v>1549</v>
      </c>
      <c r="K18" s="72" t="s">
        <v>102</v>
      </c>
    </row>
    <row r="19" spans="2:11">
      <c r="B19" s="402" t="s">
        <v>224</v>
      </c>
      <c r="C19" s="72" t="s">
        <v>1560</v>
      </c>
      <c r="D19" s="72" t="s">
        <v>102</v>
      </c>
      <c r="E19" s="72" t="s">
        <v>106</v>
      </c>
      <c r="F19" s="337">
        <f>'3.1 Material use'!D76</f>
        <v>2959.3183399999998</v>
      </c>
      <c r="G19" s="403" t="s">
        <v>102</v>
      </c>
      <c r="H19" s="780">
        <f t="shared" si="1"/>
        <v>2959.3183399999998</v>
      </c>
      <c r="I19" s="109" t="str">
        <f t="shared" si="3"/>
        <v>kgCO2e/toneladas</v>
      </c>
      <c r="J19" s="72" t="s">
        <v>1549</v>
      </c>
      <c r="K19" s="72" t="s">
        <v>102</v>
      </c>
    </row>
    <row r="20" spans="2:11">
      <c r="B20" s="402" t="s">
        <v>225</v>
      </c>
      <c r="C20" s="72" t="s">
        <v>1561</v>
      </c>
      <c r="D20" s="72" t="s">
        <v>102</v>
      </c>
      <c r="E20" s="72" t="s">
        <v>106</v>
      </c>
      <c r="F20" s="337">
        <f>'3.1 Material use'!D77</f>
        <v>3854.91851</v>
      </c>
      <c r="G20" s="403" t="s">
        <v>102</v>
      </c>
      <c r="H20" s="780">
        <f t="shared" si="1"/>
        <v>3854.91851</v>
      </c>
      <c r="I20" s="109" t="str">
        <f t="shared" si="3"/>
        <v>kgCO2e/toneladas</v>
      </c>
      <c r="J20" s="72" t="s">
        <v>1549</v>
      </c>
      <c r="K20" s="72" t="s">
        <v>102</v>
      </c>
    </row>
    <row r="21" spans="2:11">
      <c r="B21" s="402" t="s">
        <v>226</v>
      </c>
      <c r="C21" s="72" t="s">
        <v>1562</v>
      </c>
      <c r="D21" s="72" t="s">
        <v>102</v>
      </c>
      <c r="E21" s="72" t="s">
        <v>106</v>
      </c>
      <c r="F21" s="337">
        <f>'3.1 Material use'!D78</f>
        <v>2568.5889200000001</v>
      </c>
      <c r="G21" s="403" t="s">
        <v>102</v>
      </c>
      <c r="H21" s="780">
        <f t="shared" si="1"/>
        <v>2568.5889200000001</v>
      </c>
      <c r="I21" s="109" t="str">
        <f t="shared" si="3"/>
        <v>kgCO2e/toneladas</v>
      </c>
      <c r="J21" s="72" t="s">
        <v>1549</v>
      </c>
      <c r="K21" s="72" t="s">
        <v>102</v>
      </c>
    </row>
    <row r="22" spans="2:11">
      <c r="B22" s="402" t="s">
        <v>227</v>
      </c>
      <c r="C22" s="72" t="s">
        <v>1563</v>
      </c>
      <c r="D22" s="72" t="s">
        <v>102</v>
      </c>
      <c r="E22" s="72" t="s">
        <v>106</v>
      </c>
      <c r="F22" s="337">
        <f>'3.1 Material use'!D79</f>
        <v>4367.4404800000002</v>
      </c>
      <c r="G22" s="403" t="s">
        <v>102</v>
      </c>
      <c r="H22" s="780">
        <f t="shared" si="1"/>
        <v>4367.4404800000002</v>
      </c>
      <c r="I22" s="109" t="str">
        <f t="shared" si="3"/>
        <v>kgCO2e/toneladas</v>
      </c>
      <c r="J22" s="72" t="s">
        <v>1549</v>
      </c>
      <c r="K22" s="72" t="s">
        <v>102</v>
      </c>
    </row>
    <row r="23" spans="2:11">
      <c r="B23" s="402" t="s">
        <v>228</v>
      </c>
      <c r="C23" s="72" t="s">
        <v>1564</v>
      </c>
      <c r="D23" s="72" t="s">
        <v>102</v>
      </c>
      <c r="E23" s="72" t="s">
        <v>106</v>
      </c>
      <c r="F23" s="337">
        <f>'3.1 Material use'!D80</f>
        <v>2935.7733499999999</v>
      </c>
      <c r="G23" s="403" t="s">
        <v>102</v>
      </c>
      <c r="H23" s="780">
        <f t="shared" si="1"/>
        <v>2935.7733499999999</v>
      </c>
      <c r="I23" s="109" t="str">
        <f t="shared" si="3"/>
        <v>kgCO2e/toneladas</v>
      </c>
      <c r="J23" s="72" t="s">
        <v>1549</v>
      </c>
      <c r="K23" s="72" t="s">
        <v>102</v>
      </c>
    </row>
    <row r="24" spans="2:11">
      <c r="B24" s="402" t="s">
        <v>229</v>
      </c>
      <c r="C24" s="72" t="s">
        <v>1565</v>
      </c>
      <c r="D24" s="488" t="s">
        <v>102</v>
      </c>
      <c r="E24" s="72" t="s">
        <v>106</v>
      </c>
      <c r="F24" s="337">
        <f>'3.1 Material use'!D87</f>
        <v>1339.31834</v>
      </c>
      <c r="G24" s="403" t="s">
        <v>102</v>
      </c>
      <c r="H24" s="780">
        <f t="shared" si="1"/>
        <v>1339.31834</v>
      </c>
      <c r="I24" s="109" t="str">
        <f t="shared" si="3"/>
        <v>kgCO2e/toneladas</v>
      </c>
      <c r="J24" s="72" t="s">
        <v>1549</v>
      </c>
      <c r="K24" s="72" t="s">
        <v>102</v>
      </c>
    </row>
    <row r="25" spans="2:11">
      <c r="B25" s="402" t="s">
        <v>230</v>
      </c>
      <c r="C25" s="72" t="s">
        <v>1566</v>
      </c>
      <c r="D25" s="72" t="s">
        <v>102</v>
      </c>
      <c r="E25" s="72" t="s">
        <v>106</v>
      </c>
      <c r="F25" s="337">
        <f>'3.1 Material use'!D39</f>
        <v>0</v>
      </c>
      <c r="G25" s="403" t="s">
        <v>102</v>
      </c>
      <c r="H25" s="780">
        <f t="shared" si="1"/>
        <v>0</v>
      </c>
      <c r="I25" s="109" t="str">
        <f t="shared" si="3"/>
        <v>kgCO2e/toneladas</v>
      </c>
      <c r="J25" s="72" t="s">
        <v>1549</v>
      </c>
      <c r="K25" s="72" t="s">
        <v>102</v>
      </c>
    </row>
    <row r="26" spans="2:11">
      <c r="B26" s="402" t="s">
        <v>231</v>
      </c>
      <c r="C26" s="402" t="s">
        <v>102</v>
      </c>
      <c r="D26" s="402" t="s">
        <v>231</v>
      </c>
      <c r="E26" s="402" t="s">
        <v>106</v>
      </c>
      <c r="F26" s="337" t="s">
        <v>102</v>
      </c>
      <c r="G26" s="337">
        <v>44423.452599999997</v>
      </c>
      <c r="H26" s="780">
        <f t="shared" si="1"/>
        <v>44423.452599999997</v>
      </c>
      <c r="I26" s="109" t="str">
        <f>"kgCO2e/"&amp;E26</f>
        <v>kgCO2e/toneladas</v>
      </c>
      <c r="J26" s="402" t="s">
        <v>102</v>
      </c>
      <c r="K26" s="402" t="s">
        <v>1567</v>
      </c>
    </row>
    <row r="27" spans="2:11">
      <c r="B27" s="402" t="s">
        <v>232</v>
      </c>
      <c r="C27" s="72" t="s">
        <v>1568</v>
      </c>
      <c r="D27" s="72" t="s">
        <v>102</v>
      </c>
      <c r="E27" s="72" t="s">
        <v>106</v>
      </c>
      <c r="F27" s="337">
        <f>'3.1 Material use'!D34</f>
        <v>269.50416000000001</v>
      </c>
      <c r="G27" s="403" t="s">
        <v>102</v>
      </c>
      <c r="H27" s="780">
        <f t="shared" si="1"/>
        <v>269.50416000000001</v>
      </c>
      <c r="I27" s="109" t="str">
        <f t="shared" si="3"/>
        <v>kgCO2e/toneladas</v>
      </c>
      <c r="J27" s="72" t="s">
        <v>1549</v>
      </c>
      <c r="K27" s="72" t="s">
        <v>102</v>
      </c>
    </row>
    <row r="28" spans="2:11">
      <c r="B28" s="402" t="s">
        <v>233</v>
      </c>
      <c r="C28" s="72" t="s">
        <v>1569</v>
      </c>
      <c r="D28" s="72" t="s">
        <v>102</v>
      </c>
      <c r="E28" s="72" t="s">
        <v>106</v>
      </c>
      <c r="F28" s="337">
        <f>'3.1 Material use'!D40</f>
        <v>1402.76667</v>
      </c>
      <c r="G28" s="403" t="s">
        <v>102</v>
      </c>
      <c r="H28" s="780">
        <f t="shared" si="1"/>
        <v>1402.76667</v>
      </c>
      <c r="I28" s="109" t="str">
        <f t="shared" si="3"/>
        <v>kgCO2e/toneladas</v>
      </c>
      <c r="J28" s="72" t="s">
        <v>1549</v>
      </c>
      <c r="K28" s="72" t="s">
        <v>102</v>
      </c>
    </row>
    <row r="29" spans="2:11">
      <c r="B29" s="402" t="s">
        <v>234</v>
      </c>
      <c r="C29" s="72" t="s">
        <v>1570</v>
      </c>
      <c r="D29" s="72" t="s">
        <v>102</v>
      </c>
      <c r="E29" s="72" t="s">
        <v>106</v>
      </c>
      <c r="F29" s="337">
        <f>'3.1 Material use'!D27</f>
        <v>118.75127000000001</v>
      </c>
      <c r="G29" s="403" t="s">
        <v>102</v>
      </c>
      <c r="H29" s="780">
        <f t="shared" si="1"/>
        <v>118.75127000000001</v>
      </c>
      <c r="I29" s="109" t="str">
        <f t="shared" si="3"/>
        <v>kgCO2e/toneladas</v>
      </c>
      <c r="J29" s="72" t="s">
        <v>1549</v>
      </c>
      <c r="K29" s="72" t="s">
        <v>102</v>
      </c>
    </row>
    <row r="30" spans="2:11">
      <c r="B30" s="402" t="s">
        <v>235</v>
      </c>
      <c r="C30" s="72" t="s">
        <v>1571</v>
      </c>
      <c r="D30" s="72" t="s">
        <v>102</v>
      </c>
      <c r="E30" s="72" t="s">
        <v>106</v>
      </c>
      <c r="F30" s="337">
        <f>'3.1 Material use'!D32</f>
        <v>120.05</v>
      </c>
      <c r="G30" s="783" t="s">
        <v>102</v>
      </c>
      <c r="H30" s="780">
        <f t="shared" si="1"/>
        <v>120.05</v>
      </c>
      <c r="I30" s="109" t="str">
        <f t="shared" si="3"/>
        <v>kgCO2e/toneladas</v>
      </c>
      <c r="J30" s="72" t="s">
        <v>1549</v>
      </c>
      <c r="K30" s="72" t="s">
        <v>102</v>
      </c>
    </row>
    <row r="31" spans="2:11">
      <c r="B31" s="402" t="s">
        <v>236</v>
      </c>
      <c r="C31" s="72" t="s">
        <v>1572</v>
      </c>
      <c r="D31" s="72" t="s">
        <v>102</v>
      </c>
      <c r="E31" s="72" t="s">
        <v>106</v>
      </c>
      <c r="F31" s="337">
        <f>'3.1 Material use'!D41</f>
        <v>22310</v>
      </c>
      <c r="G31" s="403" t="s">
        <v>102</v>
      </c>
      <c r="H31" s="780">
        <f t="shared" si="1"/>
        <v>22310</v>
      </c>
      <c r="I31" s="109" t="str">
        <f t="shared" si="3"/>
        <v>kgCO2e/toneladas</v>
      </c>
      <c r="J31" s="72" t="s">
        <v>1549</v>
      </c>
      <c r="K31" s="72" t="s">
        <v>102</v>
      </c>
    </row>
    <row r="32" spans="2:11">
      <c r="B32" s="402" t="s">
        <v>122</v>
      </c>
      <c r="C32" s="72" t="s">
        <v>1573</v>
      </c>
      <c r="D32" s="72" t="s">
        <v>102</v>
      </c>
      <c r="E32" s="72" t="s">
        <v>104</v>
      </c>
      <c r="F32" s="339">
        <f>'3.1 WTT- fuels'!D75</f>
        <v>0.62409000000000003</v>
      </c>
      <c r="G32" s="403" t="s">
        <v>102</v>
      </c>
      <c r="H32" s="780">
        <f t="shared" si="1"/>
        <v>0.62409000000000003</v>
      </c>
      <c r="I32" s="109" t="str">
        <f>"kgCO2e/"&amp;E32</f>
        <v>kgCO2e/litros</v>
      </c>
      <c r="J32" s="402" t="s">
        <v>1574</v>
      </c>
      <c r="K32" s="72" t="s">
        <v>102</v>
      </c>
    </row>
    <row r="33" spans="1:11">
      <c r="B33" s="402" t="s">
        <v>114</v>
      </c>
      <c r="C33" s="72" t="s">
        <v>1575</v>
      </c>
      <c r="D33" s="72" t="s">
        <v>102</v>
      </c>
      <c r="E33" s="72" t="s">
        <v>104</v>
      </c>
      <c r="F33" s="339">
        <f>'3.1 WTT- fuels'!D35</f>
        <v>0.18551000000000001</v>
      </c>
      <c r="G33" s="403" t="s">
        <v>102</v>
      </c>
      <c r="H33" s="780">
        <f t="shared" si="1"/>
        <v>0.18551000000000001</v>
      </c>
      <c r="I33" s="109" t="str">
        <f>"kgCO2e/"&amp;E33</f>
        <v>kgCO2e/litros</v>
      </c>
      <c r="J33" s="72" t="s">
        <v>1574</v>
      </c>
      <c r="K33" s="72" t="s">
        <v>102</v>
      </c>
    </row>
    <row r="34" spans="1:11">
      <c r="B34" s="402" t="s">
        <v>110</v>
      </c>
      <c r="C34" s="402" t="s">
        <v>1576</v>
      </c>
      <c r="D34" s="402" t="s">
        <v>102</v>
      </c>
      <c r="E34" s="72" t="s">
        <v>104</v>
      </c>
      <c r="F34" s="339">
        <f>'3.1 WTT- fuels'!D99</f>
        <v>0.60663999999999996</v>
      </c>
      <c r="G34" s="403" t="s">
        <v>102</v>
      </c>
      <c r="H34" s="780">
        <f t="shared" si="1"/>
        <v>0.60663999999999996</v>
      </c>
      <c r="I34" s="109" t="str">
        <f>"kgCO2e/"&amp;E34</f>
        <v>kgCO2e/litros</v>
      </c>
      <c r="J34" s="72" t="s">
        <v>1574</v>
      </c>
      <c r="K34" s="72" t="s">
        <v>102</v>
      </c>
    </row>
    <row r="35" spans="1:11">
      <c r="B35" s="402" t="s">
        <v>115</v>
      </c>
      <c r="C35" s="72" t="s">
        <v>1577</v>
      </c>
      <c r="D35" s="72" t="s">
        <v>102</v>
      </c>
      <c r="E35" s="72" t="s">
        <v>103</v>
      </c>
      <c r="F35" s="339">
        <f>'3.1 WTT- fuels'!D39</f>
        <v>0.33660000000000001</v>
      </c>
      <c r="G35" s="403" t="s">
        <v>102</v>
      </c>
      <c r="H35" s="780">
        <f t="shared" si="1"/>
        <v>0.33660000000000001</v>
      </c>
      <c r="I35" s="109" t="str">
        <f>"kgCO2e/"&amp;E35</f>
        <v>kgCO2e/metros cúbicos</v>
      </c>
      <c r="J35" s="72" t="s">
        <v>1574</v>
      </c>
      <c r="K35" s="72" t="s">
        <v>102</v>
      </c>
    </row>
    <row r="36" spans="1:11">
      <c r="B36" s="402" t="s">
        <v>237</v>
      </c>
      <c r="C36" s="72" t="s">
        <v>1578</v>
      </c>
      <c r="D36" s="72" t="s">
        <v>102</v>
      </c>
      <c r="E36" s="72" t="s">
        <v>106</v>
      </c>
      <c r="F36" s="337">
        <f>'3.1 Material use'!D42</f>
        <v>3701.4035899999999</v>
      </c>
      <c r="G36" s="403" t="s">
        <v>102</v>
      </c>
      <c r="H36" s="780">
        <f t="shared" si="1"/>
        <v>3701.4035899999999</v>
      </c>
      <c r="I36" s="109" t="str">
        <f t="shared" si="3"/>
        <v>kgCO2e/toneladas</v>
      </c>
      <c r="J36" s="72" t="s">
        <v>1549</v>
      </c>
      <c r="K36" s="72" t="s">
        <v>102</v>
      </c>
    </row>
    <row r="37" spans="1:11">
      <c r="B37" s="402" t="s">
        <v>238</v>
      </c>
      <c r="C37" s="72" t="s">
        <v>1579</v>
      </c>
      <c r="D37" s="72" t="s">
        <v>102</v>
      </c>
      <c r="E37" s="72" t="s">
        <v>103</v>
      </c>
      <c r="F37" s="337">
        <f>'3.1 WTT- fuels'!D86*864.304/1000</f>
        <v>965.28679016447984</v>
      </c>
      <c r="G37" s="403" t="s">
        <v>102</v>
      </c>
      <c r="H37" s="780">
        <f t="shared" si="1"/>
        <v>965.28679016447984</v>
      </c>
      <c r="I37" s="109" t="str">
        <f t="shared" si="3"/>
        <v>kgCO2e/metros cúbicos</v>
      </c>
      <c r="J37" s="72" t="s">
        <v>1574</v>
      </c>
      <c r="K37" s="72" t="s">
        <v>1580</v>
      </c>
    </row>
    <row r="38" spans="1:11">
      <c r="B38" s="402" t="s">
        <v>239</v>
      </c>
      <c r="C38" s="72" t="s">
        <v>1581</v>
      </c>
      <c r="D38" s="72" t="s">
        <v>102</v>
      </c>
      <c r="E38" s="72" t="s">
        <v>106</v>
      </c>
      <c r="F38" s="337">
        <f>'3.1 WTT- bioenergy'!D62</f>
        <v>52.14</v>
      </c>
      <c r="G38" s="403" t="s">
        <v>102</v>
      </c>
      <c r="H38" s="780">
        <f t="shared" si="1"/>
        <v>52.14</v>
      </c>
      <c r="I38" s="109" t="str">
        <f t="shared" si="3"/>
        <v>kgCO2e/toneladas</v>
      </c>
      <c r="J38" s="402" t="s">
        <v>1582</v>
      </c>
      <c r="K38" s="72" t="s">
        <v>102</v>
      </c>
    </row>
    <row r="39" spans="1:11">
      <c r="B39" s="402" t="s">
        <v>240</v>
      </c>
      <c r="C39" s="72" t="s">
        <v>1583</v>
      </c>
      <c r="D39" s="72" t="s">
        <v>102</v>
      </c>
      <c r="E39" s="72" t="s">
        <v>106</v>
      </c>
      <c r="F39" s="337">
        <f>'3.1 Material use'!D33</f>
        <v>3335.5718999999999</v>
      </c>
      <c r="G39" s="403" t="s">
        <v>102</v>
      </c>
      <c r="H39" s="780">
        <f t="shared" si="1"/>
        <v>3335.5718999999999</v>
      </c>
      <c r="I39" s="109" t="str">
        <f t="shared" si="3"/>
        <v>kgCO2e/toneladas</v>
      </c>
      <c r="J39" s="72" t="s">
        <v>1549</v>
      </c>
      <c r="K39" s="72" t="s">
        <v>102</v>
      </c>
    </row>
    <row r="40" spans="1:11">
      <c r="A40" s="414"/>
      <c r="B40" s="402" t="s">
        <v>241</v>
      </c>
      <c r="C40" s="402" t="s">
        <v>102</v>
      </c>
      <c r="D40" s="402" t="s">
        <v>241</v>
      </c>
      <c r="E40" s="402" t="s">
        <v>107</v>
      </c>
      <c r="F40" s="781" t="s">
        <v>102</v>
      </c>
      <c r="G40" s="109">
        <v>12.79</v>
      </c>
      <c r="H40" s="780">
        <f t="shared" si="1"/>
        <v>12.79</v>
      </c>
      <c r="I40" s="109" t="str">
        <f>"kgCO2e/"&amp;E40</f>
        <v>kgCO2e/kilogramos</v>
      </c>
      <c r="J40" s="402" t="s">
        <v>102</v>
      </c>
      <c r="K40" s="402" t="s">
        <v>1584</v>
      </c>
    </row>
    <row r="41" spans="1:11">
      <c r="B41" s="402" t="s">
        <v>242</v>
      </c>
      <c r="C41" s="402" t="s">
        <v>102</v>
      </c>
      <c r="D41" s="402" t="s">
        <v>242</v>
      </c>
      <c r="E41" s="402" t="s">
        <v>107</v>
      </c>
      <c r="F41" s="781" t="s">
        <v>102</v>
      </c>
      <c r="G41" s="109">
        <v>1.179</v>
      </c>
      <c r="H41" s="780">
        <f t="shared" si="1"/>
        <v>1.179</v>
      </c>
      <c r="I41" s="109" t="str">
        <f>"kgCO2e/"&amp;E41</f>
        <v>kgCO2e/kilogramos</v>
      </c>
      <c r="J41" s="402" t="s">
        <v>102</v>
      </c>
      <c r="K41" s="402" t="s">
        <v>1585</v>
      </c>
    </row>
    <row r="42" spans="1:11">
      <c r="A42" s="414"/>
      <c r="B42" s="402" t="s">
        <v>243</v>
      </c>
      <c r="C42" s="402" t="s">
        <v>102</v>
      </c>
      <c r="D42" s="402" t="s">
        <v>243</v>
      </c>
      <c r="E42" s="402" t="s">
        <v>106</v>
      </c>
      <c r="F42" s="781" t="s">
        <v>102</v>
      </c>
      <c r="G42" s="109">
        <v>2439.3000000000002</v>
      </c>
      <c r="H42" s="780">
        <f t="shared" si="1"/>
        <v>2439.3000000000002</v>
      </c>
      <c r="I42" s="109" t="str">
        <f>"kgCO2e/"&amp;E42</f>
        <v>kgCO2e/toneladas</v>
      </c>
      <c r="J42" s="402" t="s">
        <v>102</v>
      </c>
      <c r="K42" s="72" t="s">
        <v>1586</v>
      </c>
    </row>
    <row r="43" spans="1:11">
      <c r="B43" s="402" t="s">
        <v>244</v>
      </c>
      <c r="C43" s="72" t="s">
        <v>1587</v>
      </c>
      <c r="D43" s="402" t="s">
        <v>102</v>
      </c>
      <c r="E43" s="72" t="s">
        <v>106</v>
      </c>
      <c r="F43" s="337">
        <f>'3.1 Material use'!D85</f>
        <v>1193.96586</v>
      </c>
      <c r="G43" s="403" t="s">
        <v>102</v>
      </c>
      <c r="H43" s="780">
        <f t="shared" si="1"/>
        <v>1193.96586</v>
      </c>
      <c r="I43" s="109" t="str">
        <f t="shared" si="3"/>
        <v>kgCO2e/toneladas</v>
      </c>
      <c r="J43" s="72" t="s">
        <v>1549</v>
      </c>
      <c r="K43" s="402" t="s">
        <v>102</v>
      </c>
    </row>
    <row r="44" spans="1:11">
      <c r="A44" s="414"/>
      <c r="B44" s="402" t="s">
        <v>245</v>
      </c>
      <c r="C44" s="402" t="s">
        <v>102</v>
      </c>
      <c r="D44" s="402" t="s">
        <v>245</v>
      </c>
      <c r="E44" s="402" t="s">
        <v>106</v>
      </c>
      <c r="F44" s="781" t="s">
        <v>102</v>
      </c>
      <c r="G44" s="109">
        <v>123.95</v>
      </c>
      <c r="H44" s="780">
        <f t="shared" si="1"/>
        <v>123.95</v>
      </c>
      <c r="I44" s="109" t="str">
        <f>"kgCO2e/"&amp;E44</f>
        <v>kgCO2e/toneladas</v>
      </c>
      <c r="J44" s="402" t="s">
        <v>102</v>
      </c>
      <c r="K44" s="402" t="s">
        <v>1586</v>
      </c>
    </row>
    <row r="45" spans="1:11">
      <c r="B45" s="402" t="s">
        <v>246</v>
      </c>
      <c r="C45" s="72" t="s">
        <v>1588</v>
      </c>
      <c r="D45" s="72" t="s">
        <v>102</v>
      </c>
      <c r="E45" s="72" t="s">
        <v>103</v>
      </c>
      <c r="F45" s="337">
        <f>'3.1 Water treatment'!D17+'3.1 Water supply'!D18</f>
        <v>0.33884999999999998</v>
      </c>
      <c r="G45" s="403" t="s">
        <v>102</v>
      </c>
      <c r="H45" s="780">
        <f t="shared" si="1"/>
        <v>0.33884999999999998</v>
      </c>
      <c r="I45" s="109" t="str">
        <f t="shared" si="3"/>
        <v>kgCO2e/metros cúbicos</v>
      </c>
      <c r="J45" s="402" t="s">
        <v>1589</v>
      </c>
      <c r="K45" s="72" t="s">
        <v>102</v>
      </c>
    </row>
    <row r="46" spans="1:11">
      <c r="B46" s="402" t="s">
        <v>247</v>
      </c>
      <c r="C46" s="402" t="s">
        <v>1590</v>
      </c>
      <c r="D46" s="72" t="s">
        <v>102</v>
      </c>
      <c r="E46" s="72" t="s">
        <v>106</v>
      </c>
      <c r="F46" s="337">
        <f>'3.1 Material use'!D54</f>
        <v>3267</v>
      </c>
      <c r="G46" s="109" t="s">
        <v>102</v>
      </c>
      <c r="H46" s="780">
        <f t="shared" si="1"/>
        <v>3267</v>
      </c>
      <c r="I46" s="109" t="str">
        <f t="shared" si="3"/>
        <v>kgCO2e/toneladas</v>
      </c>
      <c r="J46" s="72" t="s">
        <v>1549</v>
      </c>
      <c r="K46" s="402" t="s">
        <v>102</v>
      </c>
    </row>
    <row r="47" spans="1:11">
      <c r="B47" s="402" t="s">
        <v>248</v>
      </c>
      <c r="C47" s="402" t="s">
        <v>1591</v>
      </c>
      <c r="D47" s="72" t="s">
        <v>102</v>
      </c>
      <c r="E47" s="72" t="s">
        <v>106</v>
      </c>
      <c r="F47" s="337">
        <f>'3.1 Material use'!D53</f>
        <v>4363.3333300000004</v>
      </c>
      <c r="G47" s="109" t="s">
        <v>102</v>
      </c>
      <c r="H47" s="780">
        <f t="shared" si="1"/>
        <v>4363.3333300000004</v>
      </c>
      <c r="I47" s="109" t="str">
        <f t="shared" si="3"/>
        <v>kgCO2e/toneladas</v>
      </c>
      <c r="J47" s="72" t="s">
        <v>1549</v>
      </c>
      <c r="K47" s="402" t="s">
        <v>102</v>
      </c>
    </row>
    <row r="48" spans="1:11">
      <c r="B48" s="402" t="s">
        <v>249</v>
      </c>
      <c r="C48" s="402" t="s">
        <v>1592</v>
      </c>
      <c r="D48" s="72" t="s">
        <v>102</v>
      </c>
      <c r="E48" s="72" t="s">
        <v>106</v>
      </c>
      <c r="F48" s="337">
        <f>'3.1 Material use'!D55</f>
        <v>24865.475559999999</v>
      </c>
      <c r="G48" s="109" t="s">
        <v>102</v>
      </c>
      <c r="H48" s="780">
        <f t="shared" si="1"/>
        <v>24865.475559999999</v>
      </c>
      <c r="I48" s="109" t="str">
        <f t="shared" si="3"/>
        <v>kgCO2e/toneladas</v>
      </c>
      <c r="J48" s="72" t="s">
        <v>1549</v>
      </c>
      <c r="K48" s="402" t="s">
        <v>102</v>
      </c>
    </row>
    <row r="49" spans="2:11">
      <c r="B49" s="402" t="s">
        <v>250</v>
      </c>
      <c r="C49" s="402" t="s">
        <v>1593</v>
      </c>
      <c r="D49" s="72" t="s">
        <v>102</v>
      </c>
      <c r="E49" s="72" t="s">
        <v>251</v>
      </c>
      <c r="F49" s="109">
        <f>'3.1 Hotel stay'!D34</f>
        <v>27.6</v>
      </c>
      <c r="G49" s="109" t="s">
        <v>102</v>
      </c>
      <c r="H49" s="780">
        <f t="shared" si="1"/>
        <v>27.6</v>
      </c>
      <c r="I49" s="109" t="str">
        <f t="shared" si="3"/>
        <v>kgCO2e/pieza por noche</v>
      </c>
      <c r="J49" s="72" t="s">
        <v>1594</v>
      </c>
      <c r="K49" s="72" t="s">
        <v>1595</v>
      </c>
    </row>
    <row r="50" spans="2:11">
      <c r="B50" s="402" t="s">
        <v>252</v>
      </c>
      <c r="C50" s="72" t="s">
        <v>1596</v>
      </c>
      <c r="D50" s="72" t="s">
        <v>102</v>
      </c>
      <c r="E50" s="402" t="s">
        <v>253</v>
      </c>
      <c r="F50" s="109">
        <f>'3.1 Homeworking'!C22</f>
        <v>3.1440000000000003E-2</v>
      </c>
      <c r="G50" s="109" t="s">
        <v>102</v>
      </c>
      <c r="H50" s="780">
        <f t="shared" si="1"/>
        <v>3.1440000000000003E-2</v>
      </c>
      <c r="I50" s="109" t="str">
        <f t="shared" si="3"/>
        <v>kgCO2e/jornada de trabajo (8 horas)</v>
      </c>
      <c r="J50" s="402" t="s">
        <v>1597</v>
      </c>
      <c r="K50" s="72" t="s">
        <v>1595</v>
      </c>
    </row>
    <row r="51" spans="2:11">
      <c r="B51" s="402" t="s">
        <v>254</v>
      </c>
      <c r="C51" s="72" t="s">
        <v>1598</v>
      </c>
      <c r="D51" s="72" t="s">
        <v>102</v>
      </c>
      <c r="E51" s="402" t="s">
        <v>253</v>
      </c>
      <c r="F51" s="109">
        <f>'3.1 Homeworking'!C23</f>
        <v>0.30234</v>
      </c>
      <c r="G51" s="109" t="s">
        <v>102</v>
      </c>
      <c r="H51" s="780">
        <f t="shared" si="1"/>
        <v>0.30234</v>
      </c>
      <c r="I51" s="109" t="str">
        <f t="shared" si="3"/>
        <v>kgCO2e/jornada de trabajo (8 horas)</v>
      </c>
      <c r="J51" s="402" t="s">
        <v>1597</v>
      </c>
      <c r="K51" s="72" t="s">
        <v>1595</v>
      </c>
    </row>
    <row r="52" spans="2:11">
      <c r="B52" s="402" t="s">
        <v>255</v>
      </c>
      <c r="C52" s="72" t="s">
        <v>1599</v>
      </c>
      <c r="D52" s="72" t="s">
        <v>102</v>
      </c>
      <c r="E52" s="402" t="s">
        <v>253</v>
      </c>
      <c r="F52" s="109">
        <f>'3.1 Homeworking'!C24</f>
        <v>0.33378000000000002</v>
      </c>
      <c r="G52" s="109" t="s">
        <v>102</v>
      </c>
      <c r="H52" s="780">
        <f t="shared" si="1"/>
        <v>0.33378000000000002</v>
      </c>
      <c r="I52" s="109" t="str">
        <f t="shared" si="3"/>
        <v>kgCO2e/jornada de trabajo (8 horas)</v>
      </c>
      <c r="J52" s="402" t="s">
        <v>1597</v>
      </c>
      <c r="K52" s="72" t="s">
        <v>1595</v>
      </c>
    </row>
  </sheetData>
  <sheetProtection algorithmName="SHA-512" hashValue="d88wOb6LCLeAe0Ud9lfPLEMZvXgdeNDj8IR29cvgQeZPfxdC1ZQYzYnI2rQcyyKirpLFB3FjIB01rrhB2b4QYg==" saltValue="GkMp5YAnXiFy7lSKMzLHJA==" spinCount="100000" sheet="1" objects="1" scenarios="1" autoFilter="0"/>
  <autoFilter ref="A6:F93" xr:uid="{00000000-0009-0000-0000-00001D00000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433-70A3-44C3-AF0B-3F49ED01BF3B}">
  <sheetPr>
    <tabColor theme="6" tint="0.79998168889431442"/>
  </sheetPr>
  <dimension ref="B1:E38"/>
  <sheetViews>
    <sheetView showGridLines="0" workbookViewId="0"/>
  </sheetViews>
  <sheetFormatPr baseColWidth="10" defaultColWidth="11.44140625" defaultRowHeight="14.4"/>
  <cols>
    <col min="2" max="2" width="33.33203125" bestFit="1" customWidth="1"/>
    <col min="3" max="3" width="125.44140625" bestFit="1" customWidth="1"/>
    <col min="4" max="4" width="24.33203125" bestFit="1" customWidth="1"/>
  </cols>
  <sheetData>
    <row r="1" spans="2:5">
      <c r="B1" s="494" t="s">
        <v>96</v>
      </c>
      <c r="C1" s="421" t="s">
        <v>1600</v>
      </c>
    </row>
    <row r="2" spans="2:5">
      <c r="B2" s="494" t="s">
        <v>712</v>
      </c>
      <c r="C2" s="421" t="s">
        <v>1601</v>
      </c>
    </row>
    <row r="3" spans="2:5">
      <c r="B3" s="414"/>
      <c r="C3" s="401"/>
    </row>
    <row r="5" spans="2:5" ht="43.2">
      <c r="B5" s="498" t="s">
        <v>1602</v>
      </c>
      <c r="C5" s="498" t="s">
        <v>1603</v>
      </c>
      <c r="D5" s="498" t="s">
        <v>94</v>
      </c>
      <c r="E5" s="498" t="s">
        <v>1604</v>
      </c>
    </row>
    <row r="6" spans="2:5">
      <c r="B6" s="497" t="s">
        <v>216</v>
      </c>
      <c r="C6" s="497" t="s">
        <v>1553</v>
      </c>
      <c r="D6" s="497">
        <v>2.1339999999999999</v>
      </c>
      <c r="E6" s="497" t="s">
        <v>1605</v>
      </c>
    </row>
    <row r="7" spans="2:5">
      <c r="B7" s="421" t="s">
        <v>218</v>
      </c>
      <c r="C7" s="421" t="s">
        <v>1556</v>
      </c>
      <c r="D7" s="421">
        <f>1.013</f>
        <v>1.0129999999999999</v>
      </c>
      <c r="E7" s="421" t="s">
        <v>1605</v>
      </c>
    </row>
    <row r="11" spans="2:5">
      <c r="B11" s="1" t="s">
        <v>218</v>
      </c>
      <c r="D11" s="1" t="s">
        <v>216</v>
      </c>
    </row>
    <row r="38" spans="2:3">
      <c r="B38" s="1"/>
      <c r="C38" s="1"/>
    </row>
  </sheetData>
  <sheetProtection algorithmName="SHA-512" hashValue="0dAX2czyg3JpDYM93RkFSi87KqRf3y1iJwKsahyyBFYaS3KcPZGWH6WBXquFtXdDgE61MwKLu3zlNw26Rjznyg==" saltValue="CX7LuY5qKqKBj+hUsqsEdQ==" spinCount="100000" sheet="1" objects="1" scenarios="1" autoFilter="0"/>
  <hyperlinks>
    <hyperlink ref="C1" r:id="rId1" display="https://www.fertilizerseurope.com/" xr:uid="{B57E74FF-3D52-4FD1-8B27-E3D267EA42F4}"/>
    <hyperlink ref="C2" r:id="rId2" xr:uid="{3D56C95E-27FC-42A0-951C-8E1D0408482B}"/>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pageSetUpPr fitToPage="1"/>
  </sheetPr>
  <dimension ref="A1:AN114"/>
  <sheetViews>
    <sheetView workbookViewId="0"/>
  </sheetViews>
  <sheetFormatPr baseColWidth="10" defaultColWidth="11.33203125" defaultRowHeight="14.4"/>
  <cols>
    <col min="1" max="1" width="17.33203125" style="168" customWidth="1"/>
    <col min="2" max="2" width="43.6640625" style="168" customWidth="1"/>
    <col min="3" max="3" width="14" style="168" customWidth="1"/>
    <col min="4" max="7" width="26.33203125" style="203" customWidth="1"/>
    <col min="8" max="8" width="18.5546875" style="168" customWidth="1"/>
    <col min="9" max="9" width="5" style="168" customWidth="1"/>
    <col min="10" max="10" width="13.44140625" style="168" customWidth="1"/>
    <col min="11" max="11" width="7.6640625" style="168" customWidth="1"/>
    <col min="12" max="12" width="1.6640625" style="168" customWidth="1"/>
    <col min="13" max="16384" width="11.33203125" style="168"/>
  </cols>
  <sheetData>
    <row r="1" spans="1:40" s="164" customFormat="1" ht="10.199999999999999">
      <c r="A1" s="164" t="s">
        <v>1606</v>
      </c>
    </row>
    <row r="2" spans="1:40" ht="21">
      <c r="A2" s="165" t="s">
        <v>1607</v>
      </c>
      <c r="B2" s="165"/>
      <c r="C2" s="165"/>
      <c r="D2" s="165"/>
      <c r="E2" s="165"/>
      <c r="F2" s="165"/>
      <c r="G2" s="166"/>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row>
    <row r="3" spans="1:40" s="173" customFormat="1" ht="13.8">
      <c r="A3" s="169" t="s">
        <v>1608</v>
      </c>
      <c r="B3" s="170"/>
      <c r="C3" s="171"/>
      <c r="D3" s="170"/>
      <c r="E3" s="172"/>
      <c r="F3" s="172"/>
      <c r="G3" s="172"/>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row>
    <row r="4" spans="1:40" s="176" customFormat="1" ht="7.2" thickBot="1">
      <c r="A4" s="174"/>
      <c r="B4" s="174"/>
      <c r="C4" s="174"/>
      <c r="D4" s="175"/>
      <c r="E4" s="175"/>
      <c r="F4" s="175"/>
      <c r="G4" s="175"/>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row>
    <row r="5" spans="1:40" ht="28.2" thickTop="1">
      <c r="A5" s="177" t="s">
        <v>1609</v>
      </c>
      <c r="B5" s="178" t="s">
        <v>1607</v>
      </c>
      <c r="C5" s="177" t="s">
        <v>1610</v>
      </c>
      <c r="D5" s="179">
        <v>45818</v>
      </c>
      <c r="E5" s="180" t="s">
        <v>1611</v>
      </c>
      <c r="F5" s="181" t="s">
        <v>1612</v>
      </c>
      <c r="G5" s="166"/>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row>
    <row r="6" spans="1:40" ht="15" thickBot="1">
      <c r="A6" s="182" t="s">
        <v>1613</v>
      </c>
      <c r="B6" s="183" t="s">
        <v>1614</v>
      </c>
      <c r="C6" s="184" t="s">
        <v>1615</v>
      </c>
      <c r="D6" s="185">
        <v>1.1000000000000001</v>
      </c>
      <c r="E6" s="186" t="s">
        <v>1616</v>
      </c>
      <c r="F6" s="187">
        <v>2024</v>
      </c>
      <c r="G6" s="166"/>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row>
    <row r="7" spans="1:40" ht="15.6" thickTop="1" thickBot="1">
      <c r="A7" s="167"/>
      <c r="B7" s="167"/>
      <c r="C7" s="167"/>
      <c r="D7" s="166"/>
      <c r="E7" s="166"/>
      <c r="F7" s="166"/>
      <c r="G7" s="166"/>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row>
    <row r="8" spans="1:40" s="189" customFormat="1" ht="66" customHeight="1" thickTop="1" thickBot="1">
      <c r="A8" s="665" t="s">
        <v>1617</v>
      </c>
      <c r="B8" s="666"/>
      <c r="C8" s="666"/>
      <c r="D8" s="666"/>
      <c r="E8" s="666"/>
      <c r="F8" s="666"/>
      <c r="G8" s="666"/>
      <c r="H8" s="666"/>
      <c r="I8" s="666"/>
      <c r="J8" s="666"/>
      <c r="K8" s="666"/>
      <c r="L8" s="667"/>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row>
    <row r="9" spans="1:40" s="167" customFormat="1" ht="15" thickTop="1">
      <c r="A9" s="668"/>
      <c r="B9" s="668"/>
      <c r="C9" s="668"/>
      <c r="D9" s="668"/>
      <c r="E9" s="668"/>
      <c r="F9" s="668"/>
      <c r="G9" s="668"/>
      <c r="H9" s="668"/>
      <c r="I9" s="668"/>
      <c r="J9" s="668"/>
      <c r="K9" s="668"/>
      <c r="L9" s="668"/>
    </row>
    <row r="10" spans="1:40" s="167" customFormat="1" ht="15" customHeight="1">
      <c r="A10" s="669" t="s">
        <v>1618</v>
      </c>
      <c r="B10" s="669"/>
      <c r="C10" s="669"/>
      <c r="D10" s="669"/>
      <c r="E10" s="669"/>
      <c r="F10" s="669"/>
      <c r="G10" s="669"/>
      <c r="H10" s="669"/>
      <c r="I10" s="669"/>
      <c r="J10" s="669"/>
      <c r="K10" s="669"/>
      <c r="L10" s="669"/>
    </row>
    <row r="11" spans="1:40" s="167" customFormat="1" ht="18.75" customHeight="1">
      <c r="A11" s="668" t="s">
        <v>1619</v>
      </c>
      <c r="B11" s="668"/>
      <c r="C11" s="668"/>
      <c r="D11" s="668"/>
      <c r="E11" s="668"/>
      <c r="F11" s="668"/>
      <c r="G11" s="668"/>
      <c r="H11" s="668"/>
      <c r="I11" s="668"/>
      <c r="J11" s="668"/>
      <c r="K11" s="668"/>
      <c r="L11" s="668"/>
    </row>
    <row r="12" spans="1:40" s="167" customFormat="1" ht="20.25" customHeight="1">
      <c r="A12" s="668" t="s">
        <v>1620</v>
      </c>
      <c r="B12" s="668"/>
      <c r="C12" s="668"/>
      <c r="D12" s="668"/>
      <c r="E12" s="668"/>
      <c r="F12" s="668"/>
      <c r="G12" s="668"/>
      <c r="H12" s="668"/>
      <c r="I12" s="668"/>
      <c r="J12" s="668"/>
      <c r="K12" s="668"/>
      <c r="L12" s="668"/>
    </row>
    <row r="13" spans="1:40" s="167" customFormat="1" ht="33.75" customHeight="1">
      <c r="A13" s="668" t="s">
        <v>1621</v>
      </c>
      <c r="B13" s="668"/>
      <c r="C13" s="668"/>
      <c r="D13" s="668"/>
      <c r="E13" s="668"/>
      <c r="F13" s="668"/>
      <c r="G13" s="668"/>
      <c r="H13" s="668"/>
      <c r="I13" s="668"/>
      <c r="J13" s="668"/>
      <c r="K13" s="668"/>
      <c r="L13" s="668"/>
    </row>
    <row r="14" spans="1:40" s="167" customFormat="1" ht="20.25" customHeight="1">
      <c r="A14" s="190"/>
      <c r="B14" s="190"/>
      <c r="C14" s="190"/>
      <c r="D14" s="190"/>
      <c r="E14" s="190"/>
      <c r="F14" s="190"/>
      <c r="G14" s="190"/>
      <c r="H14" s="190"/>
      <c r="I14" s="190"/>
      <c r="J14" s="190"/>
      <c r="K14" s="190"/>
      <c r="L14" s="190"/>
    </row>
    <row r="15" spans="1:40" s="167" customFormat="1" ht="20.25" customHeight="1">
      <c r="A15" s="669" t="s">
        <v>1622</v>
      </c>
      <c r="B15" s="669"/>
      <c r="C15" s="669"/>
      <c r="D15" s="669"/>
      <c r="E15" s="669"/>
      <c r="F15" s="669"/>
      <c r="G15" s="669"/>
      <c r="H15" s="669"/>
      <c r="I15" s="669"/>
      <c r="J15" s="669"/>
      <c r="K15" s="669"/>
      <c r="L15" s="669"/>
    </row>
    <row r="16" spans="1:40" s="167" customFormat="1" ht="65.25" customHeight="1">
      <c r="A16" s="668" t="s">
        <v>1623</v>
      </c>
      <c r="B16" s="668"/>
      <c r="C16" s="668"/>
      <c r="D16" s="668"/>
      <c r="E16" s="668"/>
      <c r="F16" s="668"/>
      <c r="G16" s="668"/>
      <c r="H16" s="668"/>
      <c r="I16" s="668"/>
      <c r="J16" s="668"/>
      <c r="K16" s="668"/>
      <c r="L16" s="668"/>
    </row>
    <row r="17" spans="1:14" s="167" customFormat="1" ht="28.5" customHeight="1">
      <c r="A17" s="668" t="s">
        <v>1624</v>
      </c>
      <c r="B17" s="668"/>
      <c r="C17" s="668"/>
      <c r="D17" s="668"/>
      <c r="E17" s="668"/>
      <c r="F17" s="668"/>
      <c r="G17" s="668"/>
      <c r="H17" s="668"/>
      <c r="I17" s="668"/>
      <c r="J17" s="668"/>
      <c r="K17" s="668"/>
      <c r="L17" s="668"/>
    </row>
    <row r="18" spans="1:14" s="167" customFormat="1" ht="20.25" customHeight="1">
      <c r="A18" s="191"/>
      <c r="B18" s="191"/>
      <c r="C18" s="191"/>
      <c r="D18" s="191"/>
      <c r="E18" s="191"/>
      <c r="F18" s="191"/>
      <c r="G18" s="191"/>
      <c r="H18" s="191"/>
      <c r="I18" s="191"/>
      <c r="J18" s="191"/>
      <c r="K18" s="191"/>
      <c r="L18" s="191"/>
    </row>
    <row r="19" spans="1:14" s="194" customFormat="1">
      <c r="A19" s="192"/>
      <c r="B19" s="192"/>
      <c r="C19" s="192"/>
      <c r="D19" s="193"/>
      <c r="E19" s="193"/>
      <c r="F19" s="193"/>
      <c r="G19" s="193"/>
      <c r="H19" s="192"/>
      <c r="I19" s="192"/>
      <c r="J19" s="192"/>
      <c r="K19" s="192"/>
      <c r="L19" s="192"/>
    </row>
    <row r="20" spans="1:14" s="167" customFormat="1">
      <c r="A20" s="194"/>
      <c r="B20" s="194"/>
      <c r="C20" s="194"/>
      <c r="D20" s="195" t="s">
        <v>1625</v>
      </c>
      <c r="E20" s="195" t="s">
        <v>1626</v>
      </c>
      <c r="F20" s="195" t="s">
        <v>1627</v>
      </c>
      <c r="G20" s="195" t="s">
        <v>1628</v>
      </c>
      <c r="H20" s="194"/>
      <c r="I20" s="194"/>
      <c r="J20" s="194"/>
      <c r="K20" s="194"/>
      <c r="L20" s="194"/>
    </row>
    <row r="21" spans="1:14" s="167" customFormat="1" ht="15.6">
      <c r="A21" s="196" t="s">
        <v>1629</v>
      </c>
      <c r="B21" s="196" t="s">
        <v>1630</v>
      </c>
      <c r="C21" s="196" t="s">
        <v>1631</v>
      </c>
      <c r="D21" s="197" t="s">
        <v>1632</v>
      </c>
      <c r="E21" s="197" t="s">
        <v>1632</v>
      </c>
      <c r="F21" s="197" t="s">
        <v>1632</v>
      </c>
      <c r="G21" s="197" t="s">
        <v>1632</v>
      </c>
      <c r="H21" s="194"/>
      <c r="I21" s="194"/>
      <c r="J21" s="194"/>
      <c r="K21" s="194"/>
      <c r="L21" s="194"/>
    </row>
    <row r="22" spans="1:14" s="167" customFormat="1">
      <c r="A22" s="664" t="s">
        <v>1633</v>
      </c>
      <c r="B22" s="198" t="s">
        <v>1634</v>
      </c>
      <c r="C22" s="198" t="s">
        <v>1635</v>
      </c>
      <c r="D22" s="199">
        <v>7.7512699999999999</v>
      </c>
      <c r="E22" s="199">
        <v>2.21</v>
      </c>
      <c r="F22" s="200"/>
      <c r="G22" s="199">
        <v>3.1948500000000002</v>
      </c>
      <c r="H22" s="194"/>
      <c r="I22" s="194"/>
      <c r="J22" s="194"/>
      <c r="K22" s="194"/>
      <c r="L22" s="194"/>
      <c r="M22" s="194"/>
      <c r="N22" s="194"/>
    </row>
    <row r="23" spans="1:14" s="167" customFormat="1">
      <c r="A23" s="664"/>
      <c r="B23" s="198" t="s">
        <v>1636</v>
      </c>
      <c r="C23" s="198" t="s">
        <v>1635</v>
      </c>
      <c r="D23" s="199">
        <v>74.886520000000004</v>
      </c>
      <c r="E23" s="200"/>
      <c r="F23" s="200"/>
      <c r="G23" s="200"/>
      <c r="H23" s="194"/>
      <c r="I23" s="194"/>
      <c r="J23" s="194"/>
      <c r="K23" s="194"/>
      <c r="L23" s="194"/>
    </row>
    <row r="24" spans="1:14" s="167" customFormat="1">
      <c r="A24" s="664"/>
      <c r="B24" s="198" t="s">
        <v>1637</v>
      </c>
      <c r="C24" s="198" t="s">
        <v>1635</v>
      </c>
      <c r="D24" s="199">
        <v>27</v>
      </c>
      <c r="E24" s="200"/>
      <c r="F24" s="200"/>
      <c r="G24" s="200"/>
      <c r="H24" s="194"/>
      <c r="I24" s="194"/>
      <c r="J24" s="194"/>
      <c r="K24" s="194"/>
      <c r="L24" s="194"/>
    </row>
    <row r="25" spans="1:14" s="167" customFormat="1">
      <c r="A25" s="664"/>
      <c r="B25" s="198" t="s">
        <v>1638</v>
      </c>
      <c r="C25" s="198" t="s">
        <v>1635</v>
      </c>
      <c r="D25" s="199">
        <v>39.212490000000003</v>
      </c>
      <c r="E25" s="199">
        <v>1.7382599999999999</v>
      </c>
      <c r="F25" s="200"/>
      <c r="G25" s="199">
        <v>28.65485</v>
      </c>
      <c r="H25" s="194"/>
      <c r="I25" s="194"/>
      <c r="J25" s="194"/>
      <c r="K25" s="194"/>
      <c r="L25" s="194"/>
    </row>
    <row r="26" spans="1:14" s="167" customFormat="1">
      <c r="A26" s="664"/>
      <c r="B26" s="198" t="s">
        <v>1639</v>
      </c>
      <c r="C26" s="198" t="s">
        <v>1635</v>
      </c>
      <c r="D26" s="199">
        <v>241.75127000000001</v>
      </c>
      <c r="E26" s="200"/>
      <c r="F26" s="200"/>
      <c r="G26" s="200"/>
      <c r="H26" s="194"/>
      <c r="I26" s="194"/>
      <c r="J26" s="194"/>
      <c r="K26" s="194"/>
      <c r="L26" s="194"/>
    </row>
    <row r="27" spans="1:14" s="167" customFormat="1">
      <c r="A27" s="664"/>
      <c r="B27" s="198" t="s">
        <v>1640</v>
      </c>
      <c r="C27" s="198" t="s">
        <v>1635</v>
      </c>
      <c r="D27" s="199">
        <v>118.75127000000001</v>
      </c>
      <c r="E27" s="200"/>
      <c r="F27" s="200"/>
      <c r="G27" s="199">
        <v>3.1948500000000002</v>
      </c>
      <c r="H27" s="194"/>
      <c r="I27" s="194"/>
      <c r="J27" s="194"/>
      <c r="K27" s="194"/>
      <c r="L27" s="194"/>
    </row>
    <row r="28" spans="1:14" s="167" customFormat="1">
      <c r="A28" s="664"/>
      <c r="B28" s="198" t="s">
        <v>1641</v>
      </c>
      <c r="C28" s="198" t="s">
        <v>1635</v>
      </c>
      <c r="D28" s="199">
        <v>1861.75127</v>
      </c>
      <c r="E28" s="200"/>
      <c r="F28" s="200"/>
      <c r="G28" s="199">
        <v>1852.08114</v>
      </c>
      <c r="H28" s="194"/>
      <c r="I28" s="194"/>
      <c r="J28" s="194"/>
      <c r="K28" s="194"/>
      <c r="L28" s="194"/>
    </row>
    <row r="29" spans="1:14" s="167" customFormat="1">
      <c r="A29" s="664"/>
      <c r="B29" s="198" t="s">
        <v>1642</v>
      </c>
      <c r="C29" s="198" t="s">
        <v>1635</v>
      </c>
      <c r="D29" s="199">
        <v>3815.7847299999999</v>
      </c>
      <c r="E29" s="200"/>
      <c r="F29" s="200"/>
      <c r="G29" s="199">
        <v>1630.7866100000001</v>
      </c>
      <c r="H29" s="194"/>
      <c r="I29" s="194"/>
      <c r="J29" s="194"/>
      <c r="K29" s="194"/>
      <c r="L29" s="194"/>
    </row>
    <row r="30" spans="1:14" s="167" customFormat="1">
      <c r="A30" s="664"/>
      <c r="B30" s="198" t="s">
        <v>1643</v>
      </c>
      <c r="C30" s="198" t="s">
        <v>1635</v>
      </c>
      <c r="D30" s="200"/>
      <c r="E30" s="200"/>
      <c r="F30" s="200"/>
      <c r="G30" s="199">
        <v>0.98485</v>
      </c>
      <c r="H30" s="194"/>
      <c r="I30" s="194"/>
      <c r="J30" s="194"/>
      <c r="K30" s="194"/>
      <c r="L30" s="194"/>
    </row>
    <row r="31" spans="1:14" s="167" customFormat="1">
      <c r="A31" s="664"/>
      <c r="B31" s="198" t="s">
        <v>1644</v>
      </c>
      <c r="C31" s="198" t="s">
        <v>1635</v>
      </c>
      <c r="D31" s="199">
        <v>1401</v>
      </c>
      <c r="E31" s="200"/>
      <c r="F31" s="200"/>
      <c r="G31" s="199">
        <v>676</v>
      </c>
      <c r="H31" s="194"/>
      <c r="I31" s="194"/>
      <c r="J31" s="194"/>
      <c r="K31" s="194"/>
      <c r="L31" s="194"/>
    </row>
    <row r="32" spans="1:14" s="167" customFormat="1">
      <c r="A32" s="664"/>
      <c r="B32" s="198" t="s">
        <v>1645</v>
      </c>
      <c r="C32" s="198" t="s">
        <v>1635</v>
      </c>
      <c r="D32" s="199">
        <v>120.05</v>
      </c>
      <c r="E32" s="200"/>
      <c r="F32" s="200"/>
      <c r="G32" s="199">
        <v>32.17</v>
      </c>
      <c r="H32" s="194"/>
      <c r="I32" s="194"/>
      <c r="J32" s="194"/>
      <c r="K32" s="194"/>
      <c r="L32" s="194"/>
    </row>
    <row r="33" spans="1:14" s="167" customFormat="1">
      <c r="A33" s="664"/>
      <c r="B33" s="198" t="s">
        <v>1646</v>
      </c>
      <c r="C33" s="198" t="s">
        <v>1635</v>
      </c>
      <c r="D33" s="199">
        <v>3335.5718999999999</v>
      </c>
      <c r="E33" s="199">
        <v>731.21789000000001</v>
      </c>
      <c r="F33" s="200"/>
      <c r="G33" s="200"/>
      <c r="H33" s="194"/>
      <c r="I33" s="194"/>
      <c r="J33" s="194"/>
      <c r="K33" s="194"/>
      <c r="L33" s="194"/>
    </row>
    <row r="34" spans="1:14" s="167" customFormat="1">
      <c r="A34" s="664"/>
      <c r="B34" s="198" t="s">
        <v>1647</v>
      </c>
      <c r="C34" s="198" t="s">
        <v>1635</v>
      </c>
      <c r="D34" s="199">
        <v>269.50416000000001</v>
      </c>
      <c r="E34" s="199">
        <v>38.542879999999997</v>
      </c>
      <c r="F34" s="200"/>
      <c r="G34" s="199"/>
      <c r="H34" s="194"/>
      <c r="I34" s="194"/>
      <c r="J34" s="194"/>
      <c r="K34" s="194"/>
      <c r="L34" s="194"/>
    </row>
    <row r="35" spans="1:14" s="167" customFormat="1">
      <c r="A35" s="194"/>
      <c r="B35" s="194"/>
      <c r="C35" s="194"/>
      <c r="D35" s="201"/>
      <c r="E35" s="201"/>
      <c r="F35" s="201"/>
      <c r="G35" s="201"/>
      <c r="H35" s="194"/>
      <c r="I35" s="194"/>
      <c r="J35" s="194"/>
      <c r="K35" s="194"/>
      <c r="L35" s="194"/>
    </row>
    <row r="36" spans="1:14" s="167" customFormat="1">
      <c r="A36" s="194"/>
      <c r="B36" s="194"/>
      <c r="C36" s="194"/>
      <c r="D36" s="201"/>
      <c r="E36" s="201"/>
      <c r="F36" s="201"/>
      <c r="G36" s="201"/>
      <c r="H36" s="194"/>
      <c r="I36" s="194"/>
      <c r="J36" s="194"/>
      <c r="K36" s="194"/>
      <c r="L36" s="194"/>
    </row>
    <row r="37" spans="1:14" s="167" customFormat="1">
      <c r="A37" s="194"/>
      <c r="B37" s="194"/>
      <c r="C37" s="194"/>
      <c r="D37" s="195" t="s">
        <v>1625</v>
      </c>
      <c r="E37" s="195" t="s">
        <v>1626</v>
      </c>
      <c r="F37" s="195" t="s">
        <v>1627</v>
      </c>
      <c r="G37" s="195" t="s">
        <v>1628</v>
      </c>
      <c r="H37" s="194"/>
      <c r="I37" s="194"/>
      <c r="J37" s="194"/>
      <c r="K37" s="194"/>
      <c r="L37" s="194"/>
    </row>
    <row r="38" spans="1:14" s="167" customFormat="1" ht="15.6">
      <c r="A38" s="196" t="s">
        <v>1629</v>
      </c>
      <c r="B38" s="196" t="s">
        <v>1630</v>
      </c>
      <c r="C38" s="196" t="s">
        <v>1631</v>
      </c>
      <c r="D38" s="197" t="s">
        <v>1632</v>
      </c>
      <c r="E38" s="197" t="s">
        <v>1632</v>
      </c>
      <c r="F38" s="197" t="s">
        <v>1632</v>
      </c>
      <c r="G38" s="197" t="s">
        <v>1632</v>
      </c>
      <c r="H38" s="194"/>
      <c r="I38" s="194"/>
      <c r="J38" s="194"/>
      <c r="K38" s="194"/>
      <c r="L38" s="194"/>
    </row>
    <row r="39" spans="1:14" s="167" customFormat="1">
      <c r="A39" s="664" t="s">
        <v>1648</v>
      </c>
      <c r="B39" s="198" t="s">
        <v>1649</v>
      </c>
      <c r="C39" s="198" t="s">
        <v>1635</v>
      </c>
      <c r="D39" s="200"/>
      <c r="E39" s="200"/>
      <c r="F39" s="200"/>
      <c r="G39" s="200"/>
      <c r="H39" s="194"/>
      <c r="I39" s="194"/>
      <c r="J39" s="194"/>
      <c r="K39" s="194"/>
      <c r="L39" s="194"/>
    </row>
    <row r="40" spans="1:14" s="167" customFormat="1">
      <c r="A40" s="664"/>
      <c r="B40" s="198" t="s">
        <v>1650</v>
      </c>
      <c r="C40" s="198" t="s">
        <v>1635</v>
      </c>
      <c r="D40" s="199">
        <v>1402.76667</v>
      </c>
      <c r="E40" s="200"/>
      <c r="F40" s="200"/>
      <c r="G40" s="199">
        <v>823.18953999999997</v>
      </c>
      <c r="H40" s="194"/>
      <c r="I40" s="194"/>
      <c r="J40" s="194"/>
      <c r="K40" s="194"/>
      <c r="L40" s="194"/>
    </row>
    <row r="41" spans="1:14" s="167" customFormat="1">
      <c r="A41" s="664"/>
      <c r="B41" s="198" t="s">
        <v>1651</v>
      </c>
      <c r="C41" s="198" t="s">
        <v>1635</v>
      </c>
      <c r="D41" s="199">
        <v>22310</v>
      </c>
      <c r="E41" s="199">
        <v>152.25</v>
      </c>
      <c r="F41" s="200"/>
      <c r="G41" s="200"/>
      <c r="H41" s="194"/>
      <c r="I41" s="194"/>
      <c r="J41" s="194"/>
      <c r="K41" s="194"/>
      <c r="L41" s="194"/>
    </row>
    <row r="42" spans="1:14" s="167" customFormat="1">
      <c r="A42" s="664"/>
      <c r="B42" s="198" t="s">
        <v>1652</v>
      </c>
      <c r="C42" s="198" t="s">
        <v>1635</v>
      </c>
      <c r="D42" s="199">
        <v>3701.4035899999999</v>
      </c>
      <c r="E42" s="200"/>
      <c r="F42" s="200"/>
      <c r="G42" s="200"/>
      <c r="H42" s="194"/>
      <c r="I42" s="194"/>
      <c r="J42" s="194"/>
      <c r="K42" s="194"/>
      <c r="L42" s="194"/>
      <c r="N42" s="167" t="s">
        <v>737</v>
      </c>
    </row>
    <row r="43" spans="1:14" s="167" customFormat="1">
      <c r="A43" s="194"/>
      <c r="B43" s="194"/>
      <c r="C43" s="194"/>
      <c r="D43" s="201"/>
      <c r="E43" s="201"/>
      <c r="F43" s="201"/>
      <c r="G43" s="201"/>
      <c r="H43" s="194"/>
      <c r="I43" s="194"/>
      <c r="J43" s="194"/>
      <c r="K43" s="194"/>
      <c r="L43" s="194"/>
    </row>
    <row r="44" spans="1:14" s="167" customFormat="1">
      <c r="A44" s="194"/>
      <c r="B44" s="194"/>
      <c r="C44" s="194"/>
      <c r="D44" s="201"/>
      <c r="E44" s="201"/>
      <c r="F44" s="201"/>
      <c r="G44" s="201"/>
      <c r="H44" s="194"/>
      <c r="I44" s="194"/>
      <c r="J44" s="194"/>
      <c r="K44" s="194"/>
      <c r="L44" s="194"/>
    </row>
    <row r="45" spans="1:14" s="167" customFormat="1">
      <c r="A45" s="194"/>
      <c r="B45" s="194"/>
      <c r="C45" s="194"/>
      <c r="D45" s="195" t="s">
        <v>1625</v>
      </c>
      <c r="E45" s="195" t="s">
        <v>1626</v>
      </c>
      <c r="F45" s="195" t="s">
        <v>1627</v>
      </c>
      <c r="G45" s="195" t="s">
        <v>1628</v>
      </c>
      <c r="H45" s="194"/>
      <c r="I45" s="194"/>
      <c r="J45" s="194"/>
      <c r="K45" s="194"/>
      <c r="L45" s="194"/>
    </row>
    <row r="46" spans="1:14" s="167" customFormat="1" ht="15.6">
      <c r="A46" s="196" t="s">
        <v>1629</v>
      </c>
      <c r="B46" s="196" t="s">
        <v>1630</v>
      </c>
      <c r="C46" s="196" t="s">
        <v>1631</v>
      </c>
      <c r="D46" s="197" t="s">
        <v>1632</v>
      </c>
      <c r="E46" s="197" t="s">
        <v>1632</v>
      </c>
      <c r="F46" s="197" t="s">
        <v>1632</v>
      </c>
      <c r="G46" s="197" t="s">
        <v>1632</v>
      </c>
      <c r="H46" s="194"/>
      <c r="I46" s="194"/>
      <c r="J46" s="194"/>
      <c r="K46" s="194"/>
      <c r="L46" s="194"/>
    </row>
    <row r="47" spans="1:14" s="167" customFormat="1">
      <c r="A47" s="664" t="s">
        <v>1653</v>
      </c>
      <c r="B47" s="198" t="s">
        <v>1654</v>
      </c>
      <c r="C47" s="198" t="s">
        <v>1635</v>
      </c>
      <c r="D47" s="199">
        <v>112.01684</v>
      </c>
      <c r="E47" s="200"/>
      <c r="F47" s="200"/>
      <c r="G47" s="200"/>
      <c r="H47" s="194"/>
      <c r="I47" s="194"/>
      <c r="J47" s="194"/>
      <c r="K47" s="194"/>
      <c r="L47" s="194"/>
    </row>
    <row r="48" spans="1:14" s="167" customFormat="1">
      <c r="A48" s="664"/>
      <c r="B48" s="198" t="s">
        <v>1655</v>
      </c>
      <c r="C48" s="198" t="s">
        <v>1635</v>
      </c>
      <c r="D48" s="199">
        <v>114.83347000000001</v>
      </c>
      <c r="E48" s="200"/>
      <c r="F48" s="200"/>
      <c r="G48" s="200"/>
      <c r="H48" s="194"/>
      <c r="I48" s="194"/>
      <c r="J48" s="194"/>
      <c r="K48" s="194"/>
      <c r="L48" s="194"/>
    </row>
    <row r="49" spans="1:12" s="167" customFormat="1">
      <c r="A49" s="194"/>
      <c r="B49" s="194"/>
      <c r="C49" s="194"/>
      <c r="D49" s="201"/>
      <c r="E49" s="201"/>
      <c r="F49" s="201"/>
      <c r="G49" s="201"/>
      <c r="H49" s="194"/>
      <c r="I49" s="194"/>
      <c r="J49" s="194"/>
      <c r="K49" s="194"/>
      <c r="L49" s="194"/>
    </row>
    <row r="50" spans="1:12" s="167" customFormat="1">
      <c r="A50" s="194"/>
      <c r="B50" s="194"/>
      <c r="C50" s="194"/>
      <c r="D50" s="201"/>
      <c r="E50" s="201"/>
      <c r="F50" s="201"/>
      <c r="G50" s="201"/>
      <c r="H50" s="194"/>
      <c r="I50" s="194"/>
      <c r="J50" s="194"/>
      <c r="K50" s="194"/>
      <c r="L50" s="194"/>
    </row>
    <row r="51" spans="1:12" s="167" customFormat="1">
      <c r="A51" s="194"/>
      <c r="B51" s="194"/>
      <c r="C51" s="194"/>
      <c r="D51" s="195" t="s">
        <v>1625</v>
      </c>
      <c r="E51" s="195" t="s">
        <v>1626</v>
      </c>
      <c r="F51" s="195" t="s">
        <v>1627</v>
      </c>
      <c r="G51" s="195" t="s">
        <v>1628</v>
      </c>
      <c r="H51" s="194"/>
      <c r="I51" s="194"/>
      <c r="J51" s="194"/>
      <c r="K51" s="194"/>
      <c r="L51" s="194"/>
    </row>
    <row r="52" spans="1:12" s="167" customFormat="1" ht="15.6">
      <c r="A52" s="196" t="s">
        <v>1629</v>
      </c>
      <c r="B52" s="196" t="s">
        <v>1630</v>
      </c>
      <c r="C52" s="196" t="s">
        <v>1631</v>
      </c>
      <c r="D52" s="197" t="s">
        <v>1632</v>
      </c>
      <c r="E52" s="197" t="s">
        <v>1632</v>
      </c>
      <c r="F52" s="197" t="s">
        <v>1632</v>
      </c>
      <c r="G52" s="197" t="s">
        <v>1632</v>
      </c>
      <c r="H52" s="194"/>
      <c r="I52" s="194"/>
      <c r="J52" s="194"/>
      <c r="K52" s="194"/>
      <c r="L52" s="194"/>
    </row>
    <row r="53" spans="1:12" s="167" customFormat="1">
      <c r="A53" s="664" t="s">
        <v>1656</v>
      </c>
      <c r="B53" s="198" t="s">
        <v>1657</v>
      </c>
      <c r="C53" s="198" t="s">
        <v>1635</v>
      </c>
      <c r="D53" s="199">
        <v>4363.3333300000004</v>
      </c>
      <c r="E53" s="200"/>
      <c r="F53" s="200"/>
      <c r="G53" s="200"/>
      <c r="H53" s="194"/>
      <c r="I53" s="194"/>
      <c r="J53" s="194"/>
      <c r="K53" s="194"/>
      <c r="L53" s="194"/>
    </row>
    <row r="54" spans="1:12" s="167" customFormat="1">
      <c r="A54" s="664"/>
      <c r="B54" s="198" t="s">
        <v>1658</v>
      </c>
      <c r="C54" s="198" t="s">
        <v>1635</v>
      </c>
      <c r="D54" s="199">
        <v>3267</v>
      </c>
      <c r="E54" s="200"/>
      <c r="F54" s="200"/>
      <c r="G54" s="200"/>
      <c r="H54" s="194"/>
      <c r="I54" s="194"/>
      <c r="J54" s="194"/>
      <c r="K54" s="194"/>
      <c r="L54" s="194"/>
    </row>
    <row r="55" spans="1:12" s="167" customFormat="1">
      <c r="A55" s="664"/>
      <c r="B55" s="198" t="s">
        <v>1659</v>
      </c>
      <c r="C55" s="198" t="s">
        <v>1635</v>
      </c>
      <c r="D55" s="199">
        <v>24865.475559999999</v>
      </c>
      <c r="E55" s="200"/>
      <c r="F55" s="200"/>
      <c r="G55" s="200"/>
      <c r="H55" s="194"/>
      <c r="I55" s="194"/>
      <c r="J55" s="194"/>
      <c r="K55" s="194"/>
      <c r="L55" s="194"/>
    </row>
    <row r="56" spans="1:12" s="167" customFormat="1">
      <c r="A56" s="664"/>
      <c r="B56" s="198" t="s">
        <v>1660</v>
      </c>
      <c r="C56" s="198" t="s">
        <v>1635</v>
      </c>
      <c r="D56" s="199">
        <v>5647.9456300000002</v>
      </c>
      <c r="E56" s="200"/>
      <c r="F56" s="200"/>
      <c r="G56" s="200"/>
      <c r="H56" s="194"/>
      <c r="I56" s="194"/>
      <c r="J56" s="194"/>
      <c r="K56" s="194"/>
      <c r="L56" s="194"/>
    </row>
    <row r="57" spans="1:12" s="167" customFormat="1">
      <c r="A57" s="664"/>
      <c r="B57" s="198" t="s">
        <v>1661</v>
      </c>
      <c r="C57" s="198" t="s">
        <v>1635</v>
      </c>
      <c r="D57" s="199">
        <v>4633.4782599999999</v>
      </c>
      <c r="E57" s="200"/>
      <c r="F57" s="200"/>
      <c r="G57" s="200"/>
      <c r="H57" s="194"/>
      <c r="I57" s="194"/>
      <c r="J57" s="194"/>
      <c r="K57" s="194"/>
      <c r="L57" s="194"/>
    </row>
    <row r="58" spans="1:12" s="167" customFormat="1">
      <c r="A58" s="664"/>
      <c r="B58" s="198" t="s">
        <v>1662</v>
      </c>
      <c r="C58" s="198" t="s">
        <v>1635</v>
      </c>
      <c r="D58" s="199">
        <v>6308</v>
      </c>
      <c r="E58" s="200"/>
      <c r="F58" s="200"/>
      <c r="G58" s="200"/>
      <c r="H58" s="194"/>
      <c r="I58" s="194"/>
      <c r="J58" s="194"/>
      <c r="K58" s="194"/>
      <c r="L58" s="194"/>
    </row>
    <row r="59" spans="1:12" s="167" customFormat="1">
      <c r="A59" s="664"/>
      <c r="B59" s="198" t="s">
        <v>1663</v>
      </c>
      <c r="C59" s="198" t="s">
        <v>1635</v>
      </c>
      <c r="D59" s="199">
        <v>28380</v>
      </c>
      <c r="E59" s="200"/>
      <c r="F59" s="200"/>
      <c r="G59" s="200"/>
      <c r="H59" s="194"/>
      <c r="I59" s="194"/>
      <c r="J59" s="194"/>
      <c r="K59" s="194"/>
      <c r="L59" s="194"/>
    </row>
    <row r="60" spans="1:12" s="167" customFormat="1">
      <c r="A60" s="194"/>
      <c r="B60" s="194"/>
      <c r="C60" s="194"/>
      <c r="D60" s="201"/>
      <c r="E60" s="201"/>
      <c r="F60" s="201"/>
      <c r="G60" s="201"/>
      <c r="H60" s="194"/>
      <c r="I60" s="194"/>
      <c r="J60" s="194"/>
      <c r="K60" s="194"/>
      <c r="L60" s="194"/>
    </row>
    <row r="61" spans="1:12" s="167" customFormat="1">
      <c r="A61" s="194"/>
      <c r="B61" s="194" t="s">
        <v>737</v>
      </c>
      <c r="C61" s="194"/>
      <c r="D61" s="201"/>
      <c r="E61" s="201"/>
      <c r="F61" s="201"/>
      <c r="G61" s="201"/>
      <c r="H61" s="194"/>
      <c r="I61" s="194"/>
      <c r="J61" s="194"/>
      <c r="K61" s="194"/>
      <c r="L61" s="194"/>
    </row>
    <row r="62" spans="1:12" s="167" customFormat="1">
      <c r="A62" s="194"/>
      <c r="B62" s="194"/>
      <c r="C62" s="194"/>
      <c r="D62" s="195" t="s">
        <v>1625</v>
      </c>
      <c r="E62" s="195" t="s">
        <v>1626</v>
      </c>
      <c r="F62" s="195" t="s">
        <v>1627</v>
      </c>
      <c r="G62" s="195" t="s">
        <v>1628</v>
      </c>
      <c r="H62" s="194"/>
      <c r="I62" s="194"/>
      <c r="J62" s="194"/>
      <c r="K62" s="194"/>
      <c r="L62" s="194"/>
    </row>
    <row r="63" spans="1:12" s="167" customFormat="1" ht="15.6">
      <c r="A63" s="196" t="s">
        <v>1629</v>
      </c>
      <c r="B63" s="196" t="s">
        <v>1630</v>
      </c>
      <c r="C63" s="196" t="s">
        <v>1631</v>
      </c>
      <c r="D63" s="197" t="s">
        <v>1632</v>
      </c>
      <c r="E63" s="197" t="s">
        <v>1632</v>
      </c>
      <c r="F63" s="197" t="s">
        <v>1632</v>
      </c>
      <c r="G63" s="197" t="s">
        <v>1632</v>
      </c>
      <c r="H63" s="194"/>
      <c r="I63" s="194"/>
      <c r="J63" s="194"/>
      <c r="K63" s="194"/>
      <c r="L63" s="194"/>
    </row>
    <row r="64" spans="1:12" s="167" customFormat="1">
      <c r="A64" s="664" t="s">
        <v>1664</v>
      </c>
      <c r="B64" s="198" t="s">
        <v>1665</v>
      </c>
      <c r="C64" s="198" t="s">
        <v>1635</v>
      </c>
      <c r="D64" s="199">
        <v>9106.9185099999995</v>
      </c>
      <c r="E64" s="200"/>
      <c r="F64" s="200"/>
      <c r="G64" s="199">
        <v>990.47810000000004</v>
      </c>
      <c r="H64" s="194"/>
      <c r="I64" s="194"/>
      <c r="J64" s="194"/>
      <c r="K64" s="194"/>
      <c r="L64" s="194"/>
    </row>
    <row r="65" spans="1:12" s="167" customFormat="1">
      <c r="A65" s="664"/>
      <c r="B65" s="198" t="s">
        <v>1666</v>
      </c>
      <c r="C65" s="198" t="s">
        <v>1635</v>
      </c>
      <c r="D65" s="199">
        <v>5105.6385099999998</v>
      </c>
      <c r="E65" s="200"/>
      <c r="F65" s="200"/>
      <c r="G65" s="199">
        <v>1461.67759</v>
      </c>
      <c r="H65" s="194"/>
      <c r="I65" s="194"/>
      <c r="J65" s="194"/>
      <c r="K65" s="194"/>
      <c r="L65" s="194"/>
    </row>
    <row r="66" spans="1:12" s="167" customFormat="1">
      <c r="A66" s="664"/>
      <c r="B66" s="198" t="s">
        <v>1667</v>
      </c>
      <c r="C66" s="198" t="s">
        <v>1635</v>
      </c>
      <c r="D66" s="199">
        <v>3464.56448</v>
      </c>
      <c r="E66" s="200"/>
      <c r="F66" s="200"/>
      <c r="G66" s="199">
        <v>1620.2760599999999</v>
      </c>
      <c r="H66" s="194"/>
      <c r="I66" s="194"/>
      <c r="J66" s="194"/>
      <c r="K66" s="194"/>
      <c r="L66" s="194"/>
    </row>
    <row r="67" spans="1:12" s="167" customFormat="1">
      <c r="A67" s="664"/>
      <c r="B67" s="198" t="s">
        <v>1668</v>
      </c>
      <c r="C67" s="198" t="s">
        <v>1635</v>
      </c>
      <c r="D67" s="199">
        <v>2854.91851</v>
      </c>
      <c r="E67" s="200"/>
      <c r="F67" s="200"/>
      <c r="G67" s="199">
        <v>1726.72731</v>
      </c>
      <c r="H67" s="194"/>
      <c r="I67" s="194"/>
      <c r="J67" s="194"/>
      <c r="K67" s="194"/>
      <c r="L67" s="194"/>
    </row>
    <row r="68" spans="1:12" s="167" customFormat="1">
      <c r="A68" s="194"/>
      <c r="B68" s="194"/>
      <c r="C68" s="194"/>
      <c r="D68" s="201"/>
      <c r="E68" s="201"/>
      <c r="F68" s="201"/>
      <c r="G68" s="201"/>
      <c r="H68" s="194"/>
      <c r="I68" s="194"/>
      <c r="J68" s="194"/>
      <c r="K68" s="194"/>
      <c r="L68" s="194"/>
    </row>
    <row r="69" spans="1:12" s="167" customFormat="1">
      <c r="A69" s="194"/>
      <c r="B69" s="194"/>
      <c r="C69" s="194"/>
      <c r="D69" s="201"/>
      <c r="E69" s="201"/>
      <c r="F69" s="201"/>
      <c r="G69" s="201"/>
      <c r="H69" s="194"/>
      <c r="I69" s="194"/>
      <c r="J69" s="194"/>
      <c r="K69" s="194"/>
      <c r="L69" s="194"/>
    </row>
    <row r="70" spans="1:12" s="167" customFormat="1">
      <c r="A70" s="194"/>
      <c r="B70" s="194"/>
      <c r="C70" s="194"/>
      <c r="D70" s="195" t="s">
        <v>1625</v>
      </c>
      <c r="E70" s="195" t="s">
        <v>1626</v>
      </c>
      <c r="F70" s="195" t="s">
        <v>1627</v>
      </c>
      <c r="G70" s="195" t="s">
        <v>1628</v>
      </c>
      <c r="H70" s="194"/>
      <c r="I70" s="194"/>
      <c r="J70" s="194"/>
      <c r="K70" s="194"/>
      <c r="L70" s="194"/>
    </row>
    <row r="71" spans="1:12" s="167" customFormat="1" ht="15.6">
      <c r="A71" s="196" t="s">
        <v>1629</v>
      </c>
      <c r="B71" s="196" t="s">
        <v>1630</v>
      </c>
      <c r="C71" s="196" t="s">
        <v>1631</v>
      </c>
      <c r="D71" s="197" t="s">
        <v>1632</v>
      </c>
      <c r="E71" s="197" t="s">
        <v>1632</v>
      </c>
      <c r="F71" s="197" t="s">
        <v>1632</v>
      </c>
      <c r="G71" s="197" t="s">
        <v>1632</v>
      </c>
      <c r="H71" s="194"/>
      <c r="I71" s="194"/>
      <c r="J71" s="194"/>
      <c r="K71" s="194"/>
      <c r="L71" s="194"/>
    </row>
    <row r="72" spans="1:12" s="167" customFormat="1">
      <c r="A72" s="664" t="s">
        <v>1669</v>
      </c>
      <c r="B72" s="198" t="s">
        <v>1670</v>
      </c>
      <c r="C72" s="198" t="s">
        <v>1635</v>
      </c>
      <c r="D72" s="199">
        <v>3164.7804900000001</v>
      </c>
      <c r="E72" s="200"/>
      <c r="F72" s="200"/>
      <c r="G72" s="199">
        <v>1566.3863799999999</v>
      </c>
      <c r="H72" s="194"/>
      <c r="I72" s="194"/>
      <c r="J72" s="194"/>
      <c r="K72" s="194"/>
      <c r="L72" s="194"/>
    </row>
    <row r="73" spans="1:12" s="167" customFormat="1">
      <c r="A73" s="664"/>
      <c r="B73" s="198" t="s">
        <v>1671</v>
      </c>
      <c r="C73" s="198" t="s">
        <v>1635</v>
      </c>
      <c r="D73" s="199">
        <v>2910.4652900000001</v>
      </c>
      <c r="E73" s="200"/>
      <c r="F73" s="200"/>
      <c r="G73" s="199">
        <v>1094.58257</v>
      </c>
      <c r="H73" s="194"/>
      <c r="I73" s="194"/>
      <c r="J73" s="194"/>
      <c r="K73" s="194"/>
      <c r="L73" s="194"/>
    </row>
    <row r="74" spans="1:12" s="167" customFormat="1">
      <c r="A74" s="664"/>
      <c r="B74" s="198" t="s">
        <v>1672</v>
      </c>
      <c r="C74" s="198" t="s">
        <v>1635</v>
      </c>
      <c r="D74" s="199">
        <v>3345.3083700000002</v>
      </c>
      <c r="E74" s="200"/>
      <c r="F74" s="200"/>
      <c r="G74" s="199">
        <v>1906.7038399999999</v>
      </c>
      <c r="H74" s="194"/>
      <c r="I74" s="194"/>
      <c r="J74" s="194"/>
      <c r="K74" s="194"/>
      <c r="L74" s="194"/>
    </row>
    <row r="75" spans="1:12" s="167" customFormat="1">
      <c r="A75" s="664"/>
      <c r="B75" s="198" t="s">
        <v>1673</v>
      </c>
      <c r="C75" s="198" t="s">
        <v>1635</v>
      </c>
      <c r="D75" s="199">
        <v>3086.3903799999998</v>
      </c>
      <c r="E75" s="200"/>
      <c r="F75" s="200"/>
      <c r="G75" s="199">
        <v>1761.80819</v>
      </c>
      <c r="H75" s="194"/>
      <c r="I75" s="194"/>
      <c r="J75" s="194"/>
      <c r="K75" s="194"/>
      <c r="L75" s="194"/>
    </row>
    <row r="76" spans="1:12" s="167" customFormat="1">
      <c r="A76" s="664"/>
      <c r="B76" s="198" t="s">
        <v>1674</v>
      </c>
      <c r="C76" s="198" t="s">
        <v>1635</v>
      </c>
      <c r="D76" s="199">
        <v>2959.3183399999998</v>
      </c>
      <c r="E76" s="200"/>
      <c r="F76" s="200"/>
      <c r="G76" s="199">
        <v>1088.91851</v>
      </c>
      <c r="H76" s="194"/>
      <c r="I76" s="194"/>
      <c r="J76" s="194"/>
      <c r="K76" s="194"/>
      <c r="L76" s="194"/>
    </row>
    <row r="77" spans="1:12" s="167" customFormat="1">
      <c r="A77" s="664"/>
      <c r="B77" s="198" t="s">
        <v>1675</v>
      </c>
      <c r="C77" s="198" t="s">
        <v>1635</v>
      </c>
      <c r="D77" s="199">
        <v>3854.91851</v>
      </c>
      <c r="E77" s="200"/>
      <c r="F77" s="200"/>
      <c r="G77" s="199">
        <v>2204.91851</v>
      </c>
      <c r="H77" s="194"/>
      <c r="I77" s="194"/>
      <c r="J77" s="194"/>
      <c r="K77" s="194"/>
      <c r="L77" s="194"/>
    </row>
    <row r="78" spans="1:12" s="167" customFormat="1">
      <c r="A78" s="664"/>
      <c r="B78" s="198" t="s">
        <v>1676</v>
      </c>
      <c r="C78" s="198" t="s">
        <v>1635</v>
      </c>
      <c r="D78" s="199">
        <v>2568.5889200000001</v>
      </c>
      <c r="E78" s="200"/>
      <c r="F78" s="200"/>
      <c r="G78" s="199">
        <v>1303.5889199999999</v>
      </c>
      <c r="H78" s="194"/>
      <c r="I78" s="194"/>
      <c r="J78" s="194"/>
      <c r="K78" s="194"/>
      <c r="L78" s="194"/>
    </row>
    <row r="79" spans="1:12" s="167" customFormat="1">
      <c r="A79" s="664"/>
      <c r="B79" s="198" t="s">
        <v>1677</v>
      </c>
      <c r="C79" s="198" t="s">
        <v>1635</v>
      </c>
      <c r="D79" s="199">
        <v>4367.4404800000002</v>
      </c>
      <c r="E79" s="200"/>
      <c r="F79" s="200"/>
      <c r="G79" s="199">
        <v>2660.39912</v>
      </c>
      <c r="H79" s="194"/>
      <c r="I79" s="194"/>
      <c r="J79" s="194"/>
      <c r="K79" s="194"/>
      <c r="L79" s="194"/>
    </row>
    <row r="80" spans="1:12" s="167" customFormat="1">
      <c r="A80" s="664"/>
      <c r="B80" s="198" t="s">
        <v>1678</v>
      </c>
      <c r="C80" s="198" t="s">
        <v>1635</v>
      </c>
      <c r="D80" s="199">
        <v>2935.7733499999999</v>
      </c>
      <c r="E80" s="200"/>
      <c r="F80" s="200"/>
      <c r="G80" s="199">
        <v>1838.83987</v>
      </c>
      <c r="H80" s="194"/>
      <c r="I80" s="194"/>
      <c r="J80" s="194"/>
      <c r="K80" s="194"/>
      <c r="L80" s="194"/>
    </row>
    <row r="81" spans="1:12" s="167" customFormat="1">
      <c r="A81" s="194"/>
      <c r="B81" s="194"/>
      <c r="C81" s="194"/>
      <c r="D81" s="201"/>
      <c r="E81" s="201"/>
      <c r="F81" s="201"/>
      <c r="G81" s="201"/>
      <c r="H81" s="194"/>
      <c r="I81" s="194"/>
      <c r="J81" s="194"/>
      <c r="K81" s="194"/>
      <c r="L81" s="194"/>
    </row>
    <row r="82" spans="1:12" s="167" customFormat="1">
      <c r="A82" s="194"/>
      <c r="B82" s="194"/>
      <c r="C82" s="194"/>
      <c r="D82" s="201"/>
      <c r="E82" s="201"/>
      <c r="F82" s="201"/>
      <c r="G82" s="201"/>
      <c r="H82" s="194"/>
      <c r="I82" s="194"/>
      <c r="J82" s="194"/>
      <c r="K82" s="194"/>
      <c r="L82" s="194"/>
    </row>
    <row r="83" spans="1:12" s="167" customFormat="1">
      <c r="A83" s="194"/>
      <c r="B83" s="194"/>
      <c r="C83" s="194"/>
      <c r="D83" s="195" t="s">
        <v>1625</v>
      </c>
      <c r="E83" s="195" t="s">
        <v>1626</v>
      </c>
      <c r="F83" s="195" t="s">
        <v>1627</v>
      </c>
      <c r="G83" s="195" t="s">
        <v>1628</v>
      </c>
      <c r="H83" s="194"/>
      <c r="I83" s="194"/>
      <c r="J83" s="194"/>
      <c r="K83" s="194"/>
      <c r="L83" s="194"/>
    </row>
    <row r="84" spans="1:12" s="167" customFormat="1" ht="15.6">
      <c r="A84" s="196" t="s">
        <v>1629</v>
      </c>
      <c r="B84" s="196" t="s">
        <v>1630</v>
      </c>
      <c r="C84" s="196" t="s">
        <v>1631</v>
      </c>
      <c r="D84" s="197" t="s">
        <v>1632</v>
      </c>
      <c r="E84" s="197" t="s">
        <v>1632</v>
      </c>
      <c r="F84" s="197" t="s">
        <v>1632</v>
      </c>
      <c r="G84" s="197" t="s">
        <v>1632</v>
      </c>
      <c r="H84" s="194"/>
      <c r="I84" s="194"/>
      <c r="J84" s="194"/>
      <c r="K84" s="194"/>
      <c r="L84" s="194"/>
    </row>
    <row r="85" spans="1:12" s="167" customFormat="1">
      <c r="A85" s="664" t="s">
        <v>1679</v>
      </c>
      <c r="B85" s="198" t="s">
        <v>1587</v>
      </c>
      <c r="C85" s="198" t="s">
        <v>1635</v>
      </c>
      <c r="D85" s="202">
        <v>1193.96586</v>
      </c>
      <c r="E85" s="200"/>
      <c r="F85" s="200"/>
      <c r="G85" s="202">
        <v>1092.3548599999999</v>
      </c>
      <c r="H85" s="194"/>
      <c r="I85" s="194"/>
      <c r="J85" s="194"/>
      <c r="K85" s="194"/>
      <c r="L85" s="194"/>
    </row>
    <row r="86" spans="1:12" s="167" customFormat="1">
      <c r="A86" s="664"/>
      <c r="B86" s="198" t="s">
        <v>1680</v>
      </c>
      <c r="C86" s="198" t="s">
        <v>1635</v>
      </c>
      <c r="D86" s="202">
        <v>1282.7440200000001</v>
      </c>
      <c r="E86" s="200"/>
      <c r="F86" s="200"/>
      <c r="G86" s="202">
        <v>1063.0151900000001</v>
      </c>
      <c r="H86" s="194"/>
      <c r="I86" s="194"/>
      <c r="J86" s="194"/>
      <c r="K86" s="194"/>
      <c r="L86" s="194"/>
    </row>
    <row r="87" spans="1:12" s="167" customFormat="1">
      <c r="A87" s="664"/>
      <c r="B87" s="198" t="s">
        <v>1681</v>
      </c>
      <c r="C87" s="198" t="s">
        <v>1635</v>
      </c>
      <c r="D87" s="202">
        <v>1339.31834</v>
      </c>
      <c r="E87" s="200"/>
      <c r="F87" s="200"/>
      <c r="G87" s="202">
        <v>1044.31834</v>
      </c>
      <c r="H87" s="194"/>
      <c r="I87" s="194"/>
      <c r="J87" s="194"/>
      <c r="K87" s="194"/>
      <c r="L87" s="194"/>
    </row>
    <row r="88" spans="1:12" s="167" customFormat="1">
      <c r="A88" s="192"/>
      <c r="B88" s="192"/>
      <c r="C88" s="192"/>
      <c r="D88" s="193"/>
      <c r="E88" s="201"/>
      <c r="F88" s="193"/>
      <c r="G88" s="201"/>
      <c r="H88" s="194"/>
      <c r="I88" s="194"/>
      <c r="J88" s="194"/>
      <c r="K88" s="194"/>
      <c r="L88" s="192"/>
    </row>
    <row r="89" spans="1:12" s="167" customFormat="1">
      <c r="A89" s="192"/>
      <c r="B89" s="192"/>
      <c r="C89" s="192"/>
      <c r="D89" s="193"/>
      <c r="E89" s="201"/>
      <c r="F89" s="193"/>
      <c r="G89" s="193"/>
      <c r="H89" s="192"/>
      <c r="I89" s="192"/>
      <c r="J89" s="192"/>
      <c r="K89" s="192"/>
      <c r="L89" s="192"/>
    </row>
    <row r="90" spans="1:12" s="167" customFormat="1" ht="15.6">
      <c r="A90" s="669" t="s">
        <v>1682</v>
      </c>
      <c r="B90" s="669"/>
      <c r="C90" s="669"/>
      <c r="D90" s="669"/>
      <c r="E90" s="669"/>
      <c r="F90" s="669"/>
      <c r="G90" s="669"/>
      <c r="H90" s="669"/>
      <c r="I90" s="669"/>
      <c r="J90" s="669"/>
      <c r="K90" s="669"/>
      <c r="L90" s="669"/>
    </row>
    <row r="91" spans="1:12" s="167" customFormat="1" ht="15" customHeight="1">
      <c r="A91" s="673" t="s">
        <v>1683</v>
      </c>
      <c r="B91" s="673"/>
      <c r="C91" s="673"/>
      <c r="D91" s="673"/>
      <c r="E91" s="673"/>
      <c r="F91" s="673"/>
      <c r="G91" s="673"/>
      <c r="H91" s="673"/>
      <c r="I91" s="673"/>
      <c r="J91" s="673"/>
      <c r="K91" s="673"/>
      <c r="L91" s="673"/>
    </row>
    <row r="92" spans="1:12" s="167" customFormat="1" ht="24.6" customHeight="1">
      <c r="A92" s="670" t="s">
        <v>1684</v>
      </c>
      <c r="B92" s="670"/>
      <c r="C92" s="670"/>
      <c r="D92" s="670"/>
      <c r="E92" s="670"/>
      <c r="F92" s="670"/>
      <c r="G92" s="670"/>
      <c r="H92" s="670"/>
      <c r="I92" s="670"/>
      <c r="J92" s="670"/>
      <c r="K92" s="670"/>
      <c r="L92" s="670"/>
    </row>
    <row r="93" spans="1:12" s="167" customFormat="1">
      <c r="A93" s="671" t="s">
        <v>1685</v>
      </c>
      <c r="B93" s="671"/>
      <c r="C93" s="671"/>
      <c r="D93" s="671"/>
      <c r="E93" s="671"/>
      <c r="F93" s="671"/>
      <c r="G93" s="671"/>
      <c r="H93" s="671"/>
      <c r="I93" s="671"/>
      <c r="J93" s="671"/>
      <c r="K93" s="671"/>
      <c r="L93" s="671"/>
    </row>
    <row r="94" spans="1:12" s="167" customFormat="1">
      <c r="A94" s="672"/>
      <c r="B94" s="672"/>
      <c r="C94" s="672"/>
      <c r="D94" s="672"/>
      <c r="E94" s="672"/>
      <c r="F94" s="672"/>
      <c r="G94" s="672"/>
      <c r="H94" s="672"/>
      <c r="I94" s="672"/>
      <c r="J94" s="672"/>
      <c r="K94" s="672"/>
      <c r="L94" s="672"/>
    </row>
    <row r="95" spans="1:12" s="167" customFormat="1">
      <c r="D95" s="166"/>
      <c r="E95" s="166"/>
      <c r="F95" s="166"/>
      <c r="G95" s="166"/>
    </row>
    <row r="96" spans="1:12" s="167" customFormat="1">
      <c r="D96" s="166"/>
      <c r="E96" s="166"/>
      <c r="F96" s="166"/>
      <c r="G96" s="166"/>
    </row>
    <row r="97" spans="4:7" s="167" customFormat="1">
      <c r="D97" s="166"/>
      <c r="E97" s="166"/>
      <c r="F97" s="166"/>
      <c r="G97" s="166"/>
    </row>
    <row r="98" spans="4:7" s="167" customFormat="1">
      <c r="D98" s="166"/>
      <c r="E98" s="166"/>
      <c r="F98" s="166"/>
      <c r="G98" s="166"/>
    </row>
    <row r="99" spans="4:7" s="167" customFormat="1">
      <c r="D99" s="166"/>
      <c r="E99" s="166"/>
      <c r="F99" s="166"/>
      <c r="G99" s="166"/>
    </row>
    <row r="100" spans="4:7" s="167" customFormat="1">
      <c r="D100" s="166"/>
      <c r="E100" s="166"/>
      <c r="F100" s="166"/>
      <c r="G100" s="166"/>
    </row>
    <row r="101" spans="4:7" s="167" customFormat="1">
      <c r="D101" s="166"/>
      <c r="E101" s="166"/>
      <c r="F101" s="166"/>
      <c r="G101" s="166"/>
    </row>
    <row r="102" spans="4:7" s="167" customFormat="1">
      <c r="D102" s="166"/>
      <c r="E102" s="166"/>
      <c r="F102" s="166"/>
      <c r="G102" s="166"/>
    </row>
    <row r="103" spans="4:7" s="167" customFormat="1">
      <c r="D103" s="166"/>
      <c r="E103" s="166"/>
      <c r="F103" s="166"/>
      <c r="G103" s="166"/>
    </row>
    <row r="104" spans="4:7" s="167" customFormat="1">
      <c r="D104" s="166"/>
      <c r="E104" s="166"/>
      <c r="F104" s="166"/>
      <c r="G104" s="166"/>
    </row>
    <row r="105" spans="4:7" s="167" customFormat="1">
      <c r="D105" s="166"/>
      <c r="E105" s="166"/>
      <c r="F105" s="166"/>
      <c r="G105" s="166"/>
    </row>
    <row r="106" spans="4:7" s="167" customFormat="1">
      <c r="D106" s="166"/>
      <c r="E106" s="166"/>
      <c r="F106" s="166"/>
      <c r="G106" s="166"/>
    </row>
    <row r="107" spans="4:7" s="167" customFormat="1">
      <c r="D107" s="166"/>
      <c r="E107" s="166"/>
      <c r="F107" s="166"/>
      <c r="G107" s="166"/>
    </row>
    <row r="108" spans="4:7" s="167" customFormat="1">
      <c r="D108" s="166"/>
      <c r="E108" s="166"/>
      <c r="F108" s="166"/>
      <c r="G108" s="166"/>
    </row>
    <row r="109" spans="4:7" s="167" customFormat="1">
      <c r="D109" s="166"/>
      <c r="E109" s="166"/>
      <c r="F109" s="166"/>
      <c r="G109" s="166"/>
    </row>
    <row r="110" spans="4:7" s="167" customFormat="1">
      <c r="D110" s="166"/>
      <c r="E110" s="166"/>
      <c r="F110" s="166"/>
      <c r="G110" s="166"/>
    </row>
    <row r="111" spans="4:7" s="167" customFormat="1">
      <c r="D111" s="166"/>
      <c r="E111" s="166"/>
      <c r="F111" s="166"/>
      <c r="G111" s="166"/>
    </row>
    <row r="112" spans="4:7" s="167" customFormat="1">
      <c r="D112" s="166"/>
      <c r="E112" s="166"/>
      <c r="F112" s="166"/>
      <c r="G112" s="166"/>
    </row>
    <row r="113" spans="1:29" s="167" customFormat="1">
      <c r="D113" s="166"/>
      <c r="E113" s="166"/>
      <c r="F113" s="166"/>
      <c r="G113" s="166"/>
    </row>
    <row r="114" spans="1:29" s="167" customFormat="1">
      <c r="A114" s="168"/>
      <c r="B114" s="168"/>
      <c r="C114" s="168"/>
      <c r="D114" s="203"/>
      <c r="E114" s="203"/>
      <c r="F114" s="203"/>
      <c r="G114" s="203"/>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row>
  </sheetData>
  <sheetProtection algorithmName="SHA-512" hashValue="AFk/pWxWcqX5dFzq4S/AuL+Y4H+1Hfx/MuXytW5hip/FZLyBZIE9RKVzPukXiniGoFMRfHMKXfkobCrOa0aYeQ==" saltValue="4jDtS49YFhOVG1gHBSNNOQ==" spinCount="100000" sheet="1" objects="1" scenarios="1" autoFilter="0"/>
  <mergeCells count="21">
    <mergeCell ref="A92:L92"/>
    <mergeCell ref="A93:L93"/>
    <mergeCell ref="A94:L94"/>
    <mergeCell ref="A53:A59"/>
    <mergeCell ref="A64:A67"/>
    <mergeCell ref="A72:A80"/>
    <mergeCell ref="A85:A87"/>
    <mergeCell ref="A90:L90"/>
    <mergeCell ref="A91:L91"/>
    <mergeCell ref="A47:A48"/>
    <mergeCell ref="A8:L8"/>
    <mergeCell ref="A9:L9"/>
    <mergeCell ref="A10:L10"/>
    <mergeCell ref="A11:L11"/>
    <mergeCell ref="A12:L12"/>
    <mergeCell ref="A13:L13"/>
    <mergeCell ref="A15:L15"/>
    <mergeCell ref="A16:L16"/>
    <mergeCell ref="A17:L17"/>
    <mergeCell ref="A22:A34"/>
    <mergeCell ref="A39:A42"/>
  </mergeCells>
  <hyperlinks>
    <hyperlink ref="A3" location="Index!A1" display="Index" xr:uid="{00000000-0004-0000-1E00-000000000000}"/>
    <hyperlink ref="A92:L92" location="'Waste disposal'!A1" display="No, these factors are not appropriate. For specific end of life figures please see the ‘waste disposal’ tab." xr:uid="{00000000-0004-0000-1E00-000001000000}"/>
  </hyperlinks>
  <pageMargins left="0.7" right="0.7" top="0.75" bottom="0.75" header="0.3" footer="0.3"/>
  <pageSetup paperSize="9" scale="25" fitToHeight="0"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pageSetUpPr fitToPage="1"/>
  </sheetPr>
  <dimension ref="A1:Y211"/>
  <sheetViews>
    <sheetView workbookViewId="0"/>
  </sheetViews>
  <sheetFormatPr baseColWidth="10" defaultColWidth="11.33203125" defaultRowHeight="14.4"/>
  <cols>
    <col min="1" max="1" width="25.5546875" style="168" customWidth="1"/>
    <col min="2" max="2" width="29.5546875" style="189" customWidth="1"/>
    <col min="3" max="3" width="18.33203125" style="168" customWidth="1"/>
    <col min="4" max="4" width="18.5546875" style="168" customWidth="1"/>
    <col min="5" max="5" width="36.5546875" style="168" customWidth="1"/>
    <col min="6" max="7" width="18.5546875" style="168" customWidth="1"/>
    <col min="8" max="8" width="24.44140625" style="168" customWidth="1"/>
    <col min="9" max="10" width="6.44140625" style="168" customWidth="1"/>
    <col min="11" max="11" width="5.5546875" style="168" customWidth="1"/>
    <col min="12" max="12" width="6.5546875" style="168" customWidth="1"/>
    <col min="13" max="25" width="11.33203125" style="167"/>
    <col min="26" max="16384" width="11.33203125" style="168"/>
  </cols>
  <sheetData>
    <row r="1" spans="1:25" s="164" customFormat="1" ht="10.199999999999999">
      <c r="A1" s="164" t="s">
        <v>1606</v>
      </c>
    </row>
    <row r="2" spans="1:25" ht="21">
      <c r="A2" s="165" t="s">
        <v>1686</v>
      </c>
      <c r="B2" s="165"/>
      <c r="C2" s="165"/>
      <c r="D2" s="165"/>
      <c r="E2" s="165"/>
      <c r="F2" s="165"/>
      <c r="G2" s="204"/>
      <c r="H2" s="204"/>
      <c r="I2" s="167"/>
      <c r="J2" s="167"/>
      <c r="K2" s="167"/>
      <c r="L2" s="167"/>
    </row>
    <row r="3" spans="1:25">
      <c r="A3" s="169" t="s">
        <v>1608</v>
      </c>
      <c r="B3" s="167"/>
      <c r="C3" s="188"/>
      <c r="D3" s="167"/>
      <c r="E3" s="167"/>
      <c r="F3" s="167"/>
      <c r="G3" s="204"/>
      <c r="H3" s="204"/>
      <c r="I3" s="167"/>
      <c r="J3" s="167"/>
      <c r="K3" s="167"/>
      <c r="L3" s="167"/>
    </row>
    <row r="4" spans="1:25" s="176" customFormat="1" ht="7.2" thickBot="1">
      <c r="A4" s="174"/>
      <c r="B4" s="205"/>
      <c r="C4" s="174"/>
      <c r="D4" s="174"/>
      <c r="E4" s="174"/>
      <c r="F4" s="206"/>
      <c r="G4" s="206"/>
      <c r="H4" s="206"/>
      <c r="I4" s="174"/>
      <c r="J4" s="174"/>
      <c r="K4" s="174"/>
      <c r="L4" s="174"/>
      <c r="M4" s="174"/>
      <c r="N4" s="174"/>
      <c r="O4" s="174"/>
      <c r="P4" s="174"/>
      <c r="Q4" s="174"/>
      <c r="R4" s="174"/>
      <c r="S4" s="174"/>
      <c r="T4" s="174"/>
      <c r="U4" s="174"/>
      <c r="V4" s="174"/>
      <c r="W4" s="174"/>
      <c r="X4" s="174"/>
      <c r="Y4" s="174"/>
    </row>
    <row r="5" spans="1:25" ht="28.2" thickTop="1">
      <c r="A5" s="177" t="s">
        <v>1609</v>
      </c>
      <c r="B5" s="178" t="s">
        <v>1686</v>
      </c>
      <c r="C5" s="177" t="s">
        <v>1610</v>
      </c>
      <c r="D5" s="179">
        <v>45818</v>
      </c>
      <c r="E5" s="207" t="s">
        <v>1611</v>
      </c>
      <c r="F5" s="179" t="s">
        <v>1612</v>
      </c>
      <c r="G5" s="167"/>
      <c r="H5" s="167"/>
      <c r="I5" s="167"/>
      <c r="J5" s="167"/>
      <c r="K5" s="167"/>
      <c r="L5" s="167"/>
    </row>
    <row r="6" spans="1:25" ht="15" thickBot="1">
      <c r="A6" s="182" t="s">
        <v>1613</v>
      </c>
      <c r="B6" s="183" t="s">
        <v>1614</v>
      </c>
      <c r="C6" s="184" t="s">
        <v>1615</v>
      </c>
      <c r="D6" s="208">
        <v>1.1000000000000001</v>
      </c>
      <c r="E6" s="184" t="s">
        <v>1616</v>
      </c>
      <c r="F6" s="209">
        <v>2024</v>
      </c>
      <c r="G6" s="167"/>
      <c r="H6" s="167"/>
      <c r="I6" s="167"/>
      <c r="J6" s="167"/>
      <c r="K6" s="167"/>
      <c r="L6" s="167"/>
    </row>
    <row r="7" spans="1:25" ht="15.6" thickTop="1" thickBot="1">
      <c r="A7" s="167"/>
      <c r="B7" s="188"/>
      <c r="C7" s="167"/>
      <c r="D7" s="167"/>
      <c r="E7" s="167"/>
      <c r="F7" s="167"/>
      <c r="G7" s="167"/>
      <c r="H7" s="167"/>
      <c r="I7" s="167"/>
      <c r="J7" s="167"/>
      <c r="K7" s="167"/>
      <c r="L7" s="167"/>
    </row>
    <row r="8" spans="1:25" ht="30" customHeight="1" thickTop="1" thickBot="1">
      <c r="A8" s="674" t="s">
        <v>1687</v>
      </c>
      <c r="B8" s="675"/>
      <c r="C8" s="675"/>
      <c r="D8" s="675"/>
      <c r="E8" s="675"/>
      <c r="F8" s="675"/>
      <c r="G8" s="675"/>
      <c r="H8" s="675"/>
      <c r="I8" s="675"/>
      <c r="J8" s="675"/>
      <c r="K8" s="675"/>
      <c r="L8" s="676"/>
    </row>
    <row r="9" spans="1:25" ht="15" thickTop="1">
      <c r="A9" s="668"/>
      <c r="B9" s="677"/>
      <c r="C9" s="677"/>
      <c r="D9" s="677"/>
      <c r="E9" s="677"/>
      <c r="F9" s="677"/>
      <c r="G9" s="677"/>
      <c r="H9" s="677"/>
      <c r="I9" s="677"/>
      <c r="J9" s="677"/>
      <c r="K9" s="677"/>
      <c r="L9" s="677"/>
    </row>
    <row r="10" spans="1:25" ht="15.6">
      <c r="A10" s="678" t="s">
        <v>1618</v>
      </c>
      <c r="B10" s="678"/>
      <c r="C10" s="678"/>
      <c r="D10" s="678"/>
      <c r="E10" s="678"/>
      <c r="F10" s="678"/>
      <c r="G10" s="678"/>
      <c r="H10" s="678"/>
      <c r="I10" s="678"/>
      <c r="J10" s="678"/>
      <c r="K10" s="678"/>
      <c r="L10" s="678"/>
    </row>
    <row r="11" spans="1:25" s="167" customFormat="1" ht="34.5" customHeight="1">
      <c r="A11" s="668" t="s">
        <v>1688</v>
      </c>
      <c r="B11" s="668"/>
      <c r="C11" s="668"/>
      <c r="D11" s="668"/>
      <c r="E11" s="668"/>
      <c r="F11" s="668"/>
      <c r="G11" s="668"/>
      <c r="H11" s="668"/>
      <c r="I11" s="668"/>
      <c r="J11" s="668"/>
      <c r="K11" s="668"/>
      <c r="L11" s="668"/>
    </row>
    <row r="12" spans="1:25" s="167" customFormat="1" ht="22.35" customHeight="1">
      <c r="A12" s="668" t="s">
        <v>1689</v>
      </c>
      <c r="B12" s="668"/>
      <c r="C12" s="668"/>
      <c r="D12" s="668"/>
      <c r="E12" s="668"/>
      <c r="F12" s="668"/>
      <c r="G12" s="668"/>
      <c r="H12" s="668"/>
      <c r="I12" s="668"/>
      <c r="J12" s="668"/>
      <c r="K12" s="668"/>
      <c r="L12" s="668"/>
    </row>
    <row r="13" spans="1:25" s="167" customFormat="1" ht="90" customHeight="1">
      <c r="A13" s="668" t="s">
        <v>1690</v>
      </c>
      <c r="B13" s="668"/>
      <c r="C13" s="668"/>
      <c r="D13" s="668"/>
      <c r="E13" s="668"/>
      <c r="F13" s="668"/>
      <c r="G13" s="668"/>
      <c r="H13" s="668"/>
      <c r="I13" s="668"/>
      <c r="J13" s="668"/>
      <c r="K13" s="668"/>
      <c r="L13" s="668"/>
      <c r="N13" s="679"/>
      <c r="O13" s="679"/>
      <c r="P13" s="679"/>
      <c r="Q13" s="679"/>
      <c r="R13" s="679"/>
      <c r="S13" s="679"/>
      <c r="T13" s="679"/>
      <c r="U13" s="679"/>
      <c r="V13" s="679"/>
      <c r="W13" s="679"/>
      <c r="X13" s="679"/>
      <c r="Y13" s="679"/>
    </row>
    <row r="14" spans="1:25" s="167" customFormat="1">
      <c r="A14" s="210"/>
      <c r="B14" s="210"/>
      <c r="C14" s="210"/>
      <c r="D14" s="210"/>
      <c r="E14" s="210"/>
      <c r="F14" s="210"/>
      <c r="G14" s="210"/>
      <c r="H14" s="210"/>
      <c r="I14" s="210"/>
      <c r="J14" s="210"/>
      <c r="K14" s="210"/>
      <c r="L14" s="210"/>
    </row>
    <row r="15" spans="1:25" s="167" customFormat="1" ht="15.6">
      <c r="A15" s="669" t="s">
        <v>1691</v>
      </c>
      <c r="B15" s="669"/>
      <c r="C15" s="669"/>
      <c r="D15" s="669"/>
      <c r="E15" s="669"/>
      <c r="F15" s="669"/>
      <c r="G15" s="669"/>
      <c r="H15" s="669"/>
      <c r="I15" s="669"/>
      <c r="J15" s="669"/>
      <c r="K15" s="669"/>
      <c r="L15" s="669"/>
    </row>
    <row r="16" spans="1:25" s="167" customFormat="1" ht="42.6" customHeight="1">
      <c r="A16" s="668" t="s">
        <v>1692</v>
      </c>
      <c r="B16" s="668"/>
      <c r="C16" s="668"/>
      <c r="D16" s="668"/>
      <c r="E16" s="668"/>
      <c r="F16" s="668"/>
      <c r="G16" s="668"/>
      <c r="H16" s="668"/>
      <c r="I16" s="668"/>
      <c r="J16" s="668"/>
      <c r="K16" s="668"/>
      <c r="L16" s="668"/>
    </row>
    <row r="17" spans="1:12" s="167" customFormat="1" ht="42.6" customHeight="1">
      <c r="A17" s="668" t="s">
        <v>1693</v>
      </c>
      <c r="B17" s="668"/>
      <c r="C17" s="668"/>
      <c r="D17" s="668"/>
      <c r="E17" s="668"/>
      <c r="F17" s="668"/>
      <c r="G17" s="668"/>
      <c r="H17" s="668"/>
      <c r="I17" s="668"/>
      <c r="J17" s="668"/>
      <c r="K17" s="668"/>
      <c r="L17" s="668"/>
    </row>
    <row r="18" spans="1:12" s="167" customFormat="1" ht="19.350000000000001" customHeight="1">
      <c r="A18" s="668" t="s">
        <v>1694</v>
      </c>
      <c r="B18" s="668"/>
      <c r="C18" s="668"/>
      <c r="D18" s="668"/>
      <c r="E18" s="668"/>
      <c r="F18" s="668"/>
      <c r="G18" s="668"/>
      <c r="H18" s="668"/>
      <c r="I18" s="668"/>
      <c r="J18" s="668"/>
      <c r="K18" s="668"/>
      <c r="L18" s="668"/>
    </row>
    <row r="19" spans="1:12" s="167" customFormat="1" ht="6" customHeight="1">
      <c r="A19" s="668"/>
      <c r="B19" s="668"/>
      <c r="C19" s="668"/>
      <c r="D19" s="668"/>
      <c r="E19" s="668"/>
      <c r="F19" s="668"/>
      <c r="G19" s="668"/>
      <c r="H19" s="668"/>
      <c r="I19" s="668"/>
      <c r="J19" s="668"/>
      <c r="K19" s="668"/>
      <c r="L19" s="668"/>
    </row>
    <row r="20" spans="1:12">
      <c r="A20" s="190"/>
      <c r="B20" s="190"/>
      <c r="C20" s="190"/>
      <c r="D20" s="190"/>
      <c r="E20" s="211"/>
      <c r="F20" s="190"/>
      <c r="G20" s="190"/>
      <c r="H20" s="190"/>
      <c r="I20" s="190"/>
      <c r="J20" s="190"/>
      <c r="K20" s="190"/>
      <c r="L20" s="190"/>
    </row>
    <row r="21" spans="1:12" s="194" customFormat="1" ht="15.6">
      <c r="A21" s="196" t="s">
        <v>1629</v>
      </c>
      <c r="B21" s="212" t="s">
        <v>625</v>
      </c>
      <c r="C21" s="196" t="s">
        <v>1631</v>
      </c>
      <c r="D21" s="213" t="s">
        <v>1632</v>
      </c>
      <c r="E21" s="192"/>
      <c r="F21" s="192"/>
      <c r="G21" s="192"/>
      <c r="H21" s="192"/>
      <c r="I21" s="192"/>
      <c r="J21" s="192"/>
      <c r="K21" s="192"/>
      <c r="L21" s="192"/>
    </row>
    <row r="22" spans="1:12" s="194" customFormat="1">
      <c r="A22" s="680" t="s">
        <v>1695</v>
      </c>
      <c r="B22" s="683" t="s">
        <v>1696</v>
      </c>
      <c r="C22" s="198" t="s">
        <v>1635</v>
      </c>
      <c r="D22" s="214">
        <v>344.30946999999998</v>
      </c>
      <c r="E22" s="215"/>
      <c r="F22" s="192"/>
      <c r="G22" s="192"/>
      <c r="H22" s="192"/>
      <c r="I22" s="192"/>
      <c r="J22" s="192"/>
      <c r="K22" s="192"/>
      <c r="L22" s="192"/>
    </row>
    <row r="23" spans="1:12" s="194" customFormat="1">
      <c r="A23" s="681"/>
      <c r="B23" s="683" t="s">
        <v>1696</v>
      </c>
      <c r="C23" s="198" t="s">
        <v>1697</v>
      </c>
      <c r="D23" s="214">
        <v>0.19764999999999999</v>
      </c>
      <c r="E23" s="215"/>
      <c r="F23" s="192"/>
      <c r="G23" s="192"/>
      <c r="H23" s="192"/>
      <c r="I23" s="192"/>
      <c r="J23" s="192"/>
      <c r="K23" s="192"/>
      <c r="L23" s="192"/>
    </row>
    <row r="24" spans="1:12" s="194" customFormat="1">
      <c r="A24" s="681"/>
      <c r="B24" s="683" t="s">
        <v>1696</v>
      </c>
      <c r="C24" s="198" t="s">
        <v>1698</v>
      </c>
      <c r="D24" s="214">
        <v>2.7359999999999999E-2</v>
      </c>
      <c r="E24" s="215"/>
      <c r="F24" s="192"/>
      <c r="G24" s="192"/>
      <c r="H24" s="192"/>
      <c r="I24" s="192"/>
      <c r="J24" s="192"/>
      <c r="K24" s="192"/>
      <c r="L24" s="192"/>
    </row>
    <row r="25" spans="1:12" s="194" customFormat="1">
      <c r="A25" s="681"/>
      <c r="B25" s="683" t="s">
        <v>1696</v>
      </c>
      <c r="C25" s="198" t="s">
        <v>1699</v>
      </c>
      <c r="D25" s="214">
        <v>2.5239999999999999E-2</v>
      </c>
      <c r="E25" s="215"/>
      <c r="F25" s="192"/>
      <c r="G25" s="192"/>
      <c r="H25" s="192"/>
      <c r="I25" s="192"/>
      <c r="J25" s="192"/>
      <c r="K25" s="192"/>
      <c r="L25" s="192"/>
    </row>
    <row r="26" spans="1:12">
      <c r="A26" s="681"/>
      <c r="B26" s="683" t="s">
        <v>1700</v>
      </c>
      <c r="C26" s="198" t="s">
        <v>1635</v>
      </c>
      <c r="D26" s="214">
        <v>530.77886999999998</v>
      </c>
      <c r="E26" s="215"/>
      <c r="F26" s="190"/>
      <c r="G26" s="190"/>
      <c r="H26" s="190"/>
      <c r="I26" s="190"/>
      <c r="J26" s="190"/>
      <c r="K26" s="190"/>
      <c r="L26" s="190"/>
    </row>
    <row r="27" spans="1:12">
      <c r="A27" s="681"/>
      <c r="B27" s="683"/>
      <c r="C27" s="198" t="s">
        <v>1697</v>
      </c>
      <c r="D27" s="214">
        <v>9.289E-2</v>
      </c>
      <c r="E27" s="215"/>
      <c r="F27" s="190"/>
      <c r="G27" s="190"/>
      <c r="H27" s="190"/>
      <c r="I27" s="190"/>
      <c r="J27" s="190"/>
      <c r="K27" s="190"/>
      <c r="L27" s="190"/>
    </row>
    <row r="28" spans="1:12">
      <c r="A28" s="681"/>
      <c r="B28" s="683"/>
      <c r="C28" s="198" t="s">
        <v>1698</v>
      </c>
      <c r="D28" s="214">
        <v>4.1980000000000003E-2</v>
      </c>
      <c r="E28" s="215"/>
      <c r="F28" s="190"/>
      <c r="G28" s="190"/>
      <c r="H28" s="190"/>
      <c r="I28" s="190"/>
      <c r="J28" s="190"/>
      <c r="K28" s="190"/>
      <c r="L28" s="190"/>
    </row>
    <row r="29" spans="1:12">
      <c r="A29" s="681"/>
      <c r="B29" s="683"/>
      <c r="C29" s="198" t="s">
        <v>1699</v>
      </c>
      <c r="D29" s="214">
        <v>3.789E-2</v>
      </c>
      <c r="E29" s="215"/>
      <c r="F29" s="190"/>
      <c r="G29" s="190"/>
      <c r="H29" s="190"/>
      <c r="I29" s="190"/>
      <c r="J29" s="190"/>
      <c r="K29" s="190"/>
      <c r="L29" s="190"/>
    </row>
    <row r="30" spans="1:12">
      <c r="A30" s="681"/>
      <c r="B30" s="683" t="s">
        <v>1701</v>
      </c>
      <c r="C30" s="198" t="s">
        <v>1635</v>
      </c>
      <c r="D30" s="214">
        <v>912.22816999999998</v>
      </c>
      <c r="E30" s="215"/>
      <c r="F30" s="190"/>
      <c r="G30" s="190"/>
      <c r="H30" s="190"/>
      <c r="I30" s="190"/>
      <c r="J30" s="190"/>
      <c r="K30" s="190"/>
      <c r="L30" s="190"/>
    </row>
    <row r="31" spans="1:12">
      <c r="A31" s="681"/>
      <c r="B31" s="683"/>
      <c r="C31" s="198" t="s">
        <v>1697</v>
      </c>
      <c r="D31" s="214">
        <v>0.41277000000000003</v>
      </c>
      <c r="E31" s="215"/>
      <c r="F31" s="190"/>
      <c r="G31" s="190"/>
      <c r="H31" s="190"/>
      <c r="I31" s="190"/>
      <c r="J31" s="190"/>
      <c r="K31" s="190"/>
      <c r="L31" s="190"/>
    </row>
    <row r="32" spans="1:12">
      <c r="A32" s="681"/>
      <c r="B32" s="683"/>
      <c r="C32" s="198" t="s">
        <v>1698</v>
      </c>
      <c r="D32" s="214">
        <v>7.2139999999999996E-2</v>
      </c>
      <c r="E32" s="215"/>
      <c r="F32" s="190"/>
      <c r="G32" s="190"/>
      <c r="H32" s="190"/>
      <c r="I32" s="190"/>
      <c r="J32" s="190"/>
      <c r="K32" s="190"/>
      <c r="L32" s="190"/>
    </row>
    <row r="33" spans="1:12">
      <c r="A33" s="681"/>
      <c r="B33" s="683"/>
      <c r="C33" s="198" t="s">
        <v>1699</v>
      </c>
      <c r="D33" s="214">
        <v>6.5119999999999997E-2</v>
      </c>
      <c r="E33" s="215"/>
      <c r="F33" s="190"/>
      <c r="G33" s="190"/>
      <c r="H33" s="190"/>
      <c r="I33" s="190"/>
      <c r="J33" s="190"/>
      <c r="K33" s="190"/>
      <c r="L33" s="190"/>
    </row>
    <row r="34" spans="1:12">
      <c r="A34" s="681"/>
      <c r="B34" s="683" t="s">
        <v>1702</v>
      </c>
      <c r="C34" s="198" t="s">
        <v>1635</v>
      </c>
      <c r="D34" s="214">
        <v>349.29282000000001</v>
      </c>
      <c r="E34" s="215"/>
      <c r="F34" s="190"/>
      <c r="G34" s="190"/>
      <c r="H34" s="190"/>
      <c r="I34" s="190"/>
      <c r="J34" s="190"/>
      <c r="K34" s="190"/>
      <c r="L34" s="190"/>
    </row>
    <row r="35" spans="1:12">
      <c r="A35" s="681"/>
      <c r="B35" s="683"/>
      <c r="C35" s="198" t="s">
        <v>1697</v>
      </c>
      <c r="D35" s="214">
        <v>0.18551000000000001</v>
      </c>
      <c r="E35" s="215"/>
      <c r="F35" s="190"/>
      <c r="G35" s="190"/>
      <c r="H35" s="190"/>
      <c r="I35" s="190"/>
      <c r="J35" s="190"/>
      <c r="K35" s="190"/>
      <c r="L35" s="190"/>
    </row>
    <row r="36" spans="1:12">
      <c r="A36" s="681"/>
      <c r="B36" s="683"/>
      <c r="C36" s="198" t="s">
        <v>1698</v>
      </c>
      <c r="D36" s="214">
        <v>2.7359999999999999E-2</v>
      </c>
      <c r="E36" s="215"/>
      <c r="F36" s="190"/>
      <c r="G36" s="190"/>
      <c r="H36" s="190"/>
      <c r="I36" s="190"/>
      <c r="J36" s="190"/>
      <c r="K36" s="190"/>
      <c r="L36" s="190"/>
    </row>
    <row r="37" spans="1:12">
      <c r="A37" s="681"/>
      <c r="B37" s="683"/>
      <c r="C37" s="198" t="s">
        <v>1699</v>
      </c>
      <c r="D37" s="214">
        <v>2.5479999999999999E-2</v>
      </c>
      <c r="E37" s="215"/>
      <c r="F37" s="190"/>
      <c r="G37" s="190"/>
      <c r="H37" s="190"/>
      <c r="I37" s="190"/>
      <c r="J37" s="190"/>
      <c r="K37" s="190"/>
      <c r="L37" s="190"/>
    </row>
    <row r="38" spans="1:12">
      <c r="A38" s="681"/>
      <c r="B38" s="683" t="s">
        <v>403</v>
      </c>
      <c r="C38" s="198" t="s">
        <v>1635</v>
      </c>
      <c r="D38" s="214">
        <v>423.16368</v>
      </c>
      <c r="E38" s="215"/>
      <c r="F38" s="190"/>
      <c r="G38" s="190"/>
      <c r="H38" s="190"/>
      <c r="I38" s="190"/>
      <c r="J38" s="190"/>
      <c r="K38" s="190"/>
      <c r="L38" s="190"/>
    </row>
    <row r="39" spans="1:12">
      <c r="A39" s="681"/>
      <c r="B39" s="683"/>
      <c r="C39" s="198" t="s">
        <v>1703</v>
      </c>
      <c r="D39" s="214">
        <v>0.33660000000000001</v>
      </c>
      <c r="E39" s="215"/>
      <c r="F39" s="190"/>
      <c r="G39" s="190"/>
      <c r="H39" s="190"/>
      <c r="I39" s="190"/>
      <c r="J39" s="190"/>
      <c r="K39" s="190"/>
      <c r="L39" s="190"/>
    </row>
    <row r="40" spans="1:12">
      <c r="A40" s="681"/>
      <c r="B40" s="683"/>
      <c r="C40" s="198" t="s">
        <v>1698</v>
      </c>
      <c r="D40" s="214">
        <v>3.347E-2</v>
      </c>
      <c r="E40" s="215"/>
      <c r="F40" s="190"/>
      <c r="G40" s="190"/>
      <c r="H40" s="190"/>
      <c r="I40" s="190"/>
      <c r="J40" s="190"/>
      <c r="K40" s="190"/>
      <c r="L40" s="190"/>
    </row>
    <row r="41" spans="1:12">
      <c r="A41" s="681"/>
      <c r="B41" s="683"/>
      <c r="C41" s="198" t="s">
        <v>1699</v>
      </c>
      <c r="D41" s="214">
        <v>3.0210000000000001E-2</v>
      </c>
      <c r="E41" s="215"/>
      <c r="F41" s="190"/>
      <c r="G41" s="190"/>
      <c r="H41" s="190"/>
      <c r="I41" s="190"/>
      <c r="J41" s="190"/>
      <c r="K41" s="190"/>
      <c r="L41" s="190"/>
    </row>
    <row r="42" spans="1:12">
      <c r="A42" s="681"/>
      <c r="B42" s="664" t="s">
        <v>1704</v>
      </c>
      <c r="C42" s="198" t="s">
        <v>1635</v>
      </c>
      <c r="D42" s="214">
        <v>423.16368</v>
      </c>
      <c r="E42" s="215"/>
      <c r="F42" s="190"/>
      <c r="G42" s="190"/>
      <c r="H42" s="190"/>
      <c r="I42" s="190"/>
      <c r="J42" s="190"/>
      <c r="K42" s="190"/>
      <c r="L42" s="190"/>
    </row>
    <row r="43" spans="1:12">
      <c r="A43" s="681"/>
      <c r="B43" s="664"/>
      <c r="C43" s="198" t="s">
        <v>1703</v>
      </c>
      <c r="D43" s="214">
        <v>0.33660000000000001</v>
      </c>
      <c r="E43" s="215"/>
      <c r="F43" s="190"/>
      <c r="G43" s="190"/>
      <c r="H43" s="190"/>
      <c r="I43" s="190"/>
      <c r="J43" s="190"/>
      <c r="K43" s="190"/>
      <c r="L43" s="190"/>
    </row>
    <row r="44" spans="1:12">
      <c r="A44" s="681"/>
      <c r="B44" s="664"/>
      <c r="C44" s="198" t="s">
        <v>1698</v>
      </c>
      <c r="D44" s="214">
        <v>3.347E-2</v>
      </c>
      <c r="E44" s="215"/>
      <c r="F44" s="190"/>
      <c r="G44" s="190"/>
      <c r="H44" s="190"/>
      <c r="I44" s="190"/>
      <c r="J44" s="190"/>
      <c r="K44" s="190"/>
      <c r="L44" s="190"/>
    </row>
    <row r="45" spans="1:12">
      <c r="A45" s="681"/>
      <c r="B45" s="664"/>
      <c r="C45" s="198" t="s">
        <v>1699</v>
      </c>
      <c r="D45" s="214">
        <v>3.0210000000000001E-2</v>
      </c>
      <c r="E45" s="215"/>
      <c r="F45" s="190"/>
      <c r="G45" s="190"/>
      <c r="H45" s="190"/>
      <c r="I45" s="190"/>
      <c r="J45" s="190"/>
      <c r="K45" s="190"/>
      <c r="L45" s="190"/>
    </row>
    <row r="46" spans="1:12">
      <c r="A46" s="681"/>
      <c r="B46" s="683" t="s">
        <v>1705</v>
      </c>
      <c r="C46" s="198" t="s">
        <v>1635</v>
      </c>
      <c r="D46" s="214">
        <v>302.95197000000002</v>
      </c>
      <c r="E46" s="215"/>
      <c r="F46" s="190"/>
      <c r="G46" s="190"/>
      <c r="H46" s="190"/>
      <c r="I46" s="190"/>
      <c r="J46" s="190"/>
      <c r="K46" s="190"/>
      <c r="L46" s="190"/>
    </row>
    <row r="47" spans="1:12">
      <c r="A47" s="681"/>
      <c r="B47" s="683"/>
      <c r="C47" s="198" t="s">
        <v>1697</v>
      </c>
      <c r="D47" s="214">
        <v>0.11097</v>
      </c>
      <c r="E47" s="215"/>
      <c r="F47" s="190"/>
      <c r="G47" s="190"/>
      <c r="H47" s="190"/>
      <c r="I47" s="190"/>
      <c r="J47" s="190"/>
      <c r="K47" s="190"/>
      <c r="L47" s="190"/>
    </row>
    <row r="48" spans="1:12">
      <c r="A48" s="681"/>
      <c r="B48" s="683"/>
      <c r="C48" s="198" t="s">
        <v>1698</v>
      </c>
      <c r="D48" s="214">
        <v>2.3400000000000001E-2</v>
      </c>
      <c r="E48" s="215"/>
      <c r="F48" s="190"/>
      <c r="G48" s="190"/>
      <c r="H48" s="190"/>
      <c r="I48" s="190"/>
      <c r="J48" s="190"/>
      <c r="K48" s="190"/>
      <c r="L48" s="190"/>
    </row>
    <row r="49" spans="1:12">
      <c r="A49" s="681"/>
      <c r="B49" s="683"/>
      <c r="C49" s="198" t="s">
        <v>1699</v>
      </c>
      <c r="D49" s="214">
        <v>2.1530000000000001E-2</v>
      </c>
      <c r="E49" s="215"/>
      <c r="F49" s="190"/>
      <c r="G49" s="190"/>
      <c r="H49" s="190"/>
      <c r="I49" s="190"/>
      <c r="J49" s="190"/>
      <c r="K49" s="190"/>
      <c r="L49" s="190"/>
    </row>
    <row r="50" spans="1:12">
      <c r="A50" s="681"/>
      <c r="B50" s="683" t="s">
        <v>1706</v>
      </c>
      <c r="C50" s="198" t="s">
        <v>1635</v>
      </c>
      <c r="D50" s="214">
        <v>352.67018000000002</v>
      </c>
      <c r="E50" s="215"/>
      <c r="F50" s="190"/>
      <c r="G50" s="190"/>
      <c r="H50" s="190"/>
      <c r="I50" s="190"/>
      <c r="J50" s="190"/>
      <c r="K50" s="190"/>
      <c r="L50" s="190"/>
    </row>
    <row r="51" spans="1:12">
      <c r="A51" s="681"/>
      <c r="B51" s="683" t="s">
        <v>1706</v>
      </c>
      <c r="C51" s="198" t="s">
        <v>1697</v>
      </c>
      <c r="D51" s="214">
        <v>0.1817</v>
      </c>
      <c r="E51" s="215"/>
      <c r="F51" s="190"/>
      <c r="G51" s="190"/>
      <c r="H51" s="190"/>
      <c r="I51" s="190"/>
      <c r="J51" s="190"/>
      <c r="K51" s="190"/>
      <c r="L51" s="190"/>
    </row>
    <row r="52" spans="1:12">
      <c r="A52" s="681"/>
      <c r="B52" s="683" t="s">
        <v>1706</v>
      </c>
      <c r="C52" s="198" t="s">
        <v>1698</v>
      </c>
      <c r="D52" s="214">
        <v>2.7359999999999999E-2</v>
      </c>
      <c r="E52" s="215"/>
      <c r="F52" s="190"/>
      <c r="G52" s="190"/>
      <c r="H52" s="190"/>
      <c r="I52" s="190"/>
      <c r="J52" s="190"/>
      <c r="K52" s="190"/>
      <c r="L52" s="190"/>
    </row>
    <row r="53" spans="1:12">
      <c r="A53" s="682"/>
      <c r="B53" s="683" t="s">
        <v>1706</v>
      </c>
      <c r="C53" s="198" t="s">
        <v>1699</v>
      </c>
      <c r="D53" s="214">
        <v>2.5190000000000001E-2</v>
      </c>
      <c r="E53" s="215"/>
      <c r="F53" s="190"/>
      <c r="G53" s="190"/>
      <c r="H53" s="190"/>
      <c r="I53" s="190"/>
      <c r="J53" s="190"/>
      <c r="K53" s="190"/>
      <c r="L53" s="190"/>
    </row>
    <row r="54" spans="1:12">
      <c r="A54" s="194"/>
      <c r="B54" s="216"/>
      <c r="C54" s="194"/>
      <c r="D54" s="217"/>
      <c r="E54" s="215"/>
      <c r="F54" s="190"/>
      <c r="G54" s="190"/>
      <c r="H54" s="190"/>
      <c r="I54" s="190"/>
      <c r="J54" s="190"/>
      <c r="K54" s="190"/>
      <c r="L54" s="190"/>
    </row>
    <row r="55" spans="1:12">
      <c r="A55" s="194"/>
      <c r="B55" s="216"/>
      <c r="C55" s="194"/>
      <c r="D55" s="217"/>
      <c r="E55" s="215"/>
      <c r="F55" s="190"/>
      <c r="G55" s="190"/>
      <c r="H55" s="190"/>
      <c r="I55" s="190"/>
      <c r="J55" s="190"/>
      <c r="K55" s="190"/>
      <c r="L55" s="190"/>
    </row>
    <row r="56" spans="1:12">
      <c r="A56" s="194"/>
      <c r="B56" s="216"/>
      <c r="C56" s="194"/>
      <c r="D56" s="217"/>
      <c r="E56" s="215"/>
      <c r="F56" s="190"/>
      <c r="G56" s="190"/>
      <c r="H56" s="190"/>
      <c r="I56" s="190"/>
      <c r="J56" s="190"/>
      <c r="K56" s="190"/>
      <c r="L56" s="190"/>
    </row>
    <row r="57" spans="1:12" ht="15.6">
      <c r="A57" s="196" t="s">
        <v>1629</v>
      </c>
      <c r="B57" s="212" t="s">
        <v>625</v>
      </c>
      <c r="C57" s="196" t="s">
        <v>1631</v>
      </c>
      <c r="D57" s="213" t="s">
        <v>1632</v>
      </c>
      <c r="E57" s="215"/>
      <c r="F57" s="190"/>
      <c r="G57" s="190"/>
      <c r="H57" s="190"/>
      <c r="I57" s="190"/>
      <c r="J57" s="190"/>
      <c r="K57" s="190"/>
      <c r="L57" s="190"/>
    </row>
    <row r="58" spans="1:12">
      <c r="A58" s="664" t="s">
        <v>1707</v>
      </c>
      <c r="B58" s="683" t="s">
        <v>1708</v>
      </c>
      <c r="C58" s="198" t="s">
        <v>1635</v>
      </c>
      <c r="D58" s="214">
        <v>813.26356999999996</v>
      </c>
      <c r="E58" s="215"/>
      <c r="F58" s="190"/>
      <c r="G58" s="190"/>
      <c r="H58" s="190"/>
      <c r="I58" s="190"/>
      <c r="J58" s="190"/>
      <c r="K58" s="190"/>
      <c r="L58" s="190"/>
    </row>
    <row r="59" spans="1:12">
      <c r="A59" s="664"/>
      <c r="B59" s="683"/>
      <c r="C59" s="198" t="s">
        <v>1697</v>
      </c>
      <c r="D59" s="214">
        <v>0.61424999999999996</v>
      </c>
      <c r="E59" s="215"/>
      <c r="F59" s="190"/>
      <c r="G59" s="190"/>
      <c r="H59" s="190"/>
      <c r="I59" s="190"/>
      <c r="J59" s="190"/>
      <c r="K59" s="190"/>
      <c r="L59" s="190"/>
    </row>
    <row r="60" spans="1:12">
      <c r="A60" s="664"/>
      <c r="B60" s="683"/>
      <c r="C60" s="198" t="s">
        <v>1698</v>
      </c>
      <c r="D60" s="214">
        <v>6.5820000000000004E-2</v>
      </c>
      <c r="E60" s="215"/>
      <c r="F60" s="190"/>
      <c r="G60" s="190"/>
      <c r="H60" s="190"/>
      <c r="I60" s="190"/>
      <c r="J60" s="190"/>
      <c r="K60" s="190"/>
      <c r="L60" s="190"/>
    </row>
    <row r="61" spans="1:12">
      <c r="A61" s="664"/>
      <c r="B61" s="683"/>
      <c r="C61" s="198" t="s">
        <v>1699</v>
      </c>
      <c r="D61" s="214">
        <v>6.2530000000000002E-2</v>
      </c>
      <c r="E61" s="215"/>
      <c r="F61" s="190"/>
      <c r="G61" s="190"/>
      <c r="H61" s="190"/>
      <c r="I61" s="190"/>
      <c r="J61" s="190"/>
      <c r="K61" s="190"/>
      <c r="L61" s="190"/>
    </row>
    <row r="62" spans="1:12">
      <c r="A62" s="664"/>
      <c r="B62" s="683" t="s">
        <v>1709</v>
      </c>
      <c r="C62" s="198" t="s">
        <v>1635</v>
      </c>
      <c r="D62" s="214">
        <v>661.79467999999997</v>
      </c>
      <c r="E62" s="215"/>
      <c r="F62" s="190"/>
      <c r="G62" s="190"/>
      <c r="H62" s="190"/>
      <c r="I62" s="190"/>
      <c r="J62" s="190"/>
      <c r="K62" s="190"/>
      <c r="L62" s="190"/>
    </row>
    <row r="63" spans="1:12">
      <c r="A63" s="664"/>
      <c r="B63" s="683"/>
      <c r="C63" s="198" t="s">
        <v>1697</v>
      </c>
      <c r="D63" s="214">
        <v>0.52817000000000003</v>
      </c>
      <c r="E63" s="215"/>
      <c r="F63" s="190"/>
      <c r="G63" s="190"/>
      <c r="H63" s="190"/>
      <c r="I63" s="190"/>
      <c r="J63" s="190"/>
      <c r="K63" s="190"/>
      <c r="L63" s="190"/>
    </row>
    <row r="64" spans="1:12">
      <c r="A64" s="664"/>
      <c r="B64" s="683"/>
      <c r="C64" s="198" t="s">
        <v>1698</v>
      </c>
      <c r="D64" s="214">
        <v>5.4239999999999997E-2</v>
      </c>
      <c r="E64" s="215"/>
      <c r="F64" s="190"/>
      <c r="G64" s="190"/>
      <c r="H64" s="190"/>
      <c r="I64" s="190"/>
      <c r="J64" s="190"/>
      <c r="K64" s="190"/>
      <c r="L64" s="190"/>
    </row>
    <row r="65" spans="1:12">
      <c r="A65" s="664"/>
      <c r="B65" s="683"/>
      <c r="C65" s="198" t="s">
        <v>1699</v>
      </c>
      <c r="D65" s="214">
        <v>5.1529999999999999E-2</v>
      </c>
      <c r="E65" s="215"/>
      <c r="F65" s="190"/>
      <c r="G65" s="190"/>
      <c r="H65" s="190"/>
      <c r="I65" s="190"/>
      <c r="J65" s="190"/>
      <c r="K65" s="190"/>
      <c r="L65" s="190"/>
    </row>
    <row r="66" spans="1:12">
      <c r="A66" s="664"/>
      <c r="B66" s="683" t="s">
        <v>1710</v>
      </c>
      <c r="C66" s="198" t="s">
        <v>1635</v>
      </c>
      <c r="D66" s="214">
        <v>660.82605000000001</v>
      </c>
      <c r="E66" s="215"/>
      <c r="F66" s="190"/>
      <c r="G66" s="190"/>
      <c r="H66" s="190"/>
      <c r="I66" s="190"/>
      <c r="J66" s="190"/>
      <c r="K66" s="190"/>
      <c r="L66" s="190"/>
    </row>
    <row r="67" spans="1:12">
      <c r="A67" s="664"/>
      <c r="B67" s="683"/>
      <c r="C67" s="198" t="s">
        <v>1697</v>
      </c>
      <c r="D67" s="214">
        <v>0.53078000000000003</v>
      </c>
      <c r="E67" s="215"/>
      <c r="F67" s="190"/>
      <c r="G67" s="190"/>
      <c r="H67" s="190"/>
      <c r="I67" s="190"/>
      <c r="J67" s="190"/>
      <c r="K67" s="190"/>
      <c r="L67" s="190"/>
    </row>
    <row r="68" spans="1:12">
      <c r="A68" s="664"/>
      <c r="B68" s="683"/>
      <c r="C68" s="198" t="s">
        <v>1698</v>
      </c>
      <c r="D68" s="214">
        <v>5.4239999999999997E-2</v>
      </c>
      <c r="E68" s="215"/>
      <c r="F68" s="190"/>
      <c r="G68" s="190"/>
      <c r="H68" s="190"/>
      <c r="I68" s="190"/>
      <c r="J68" s="190"/>
      <c r="K68" s="190"/>
      <c r="L68" s="190"/>
    </row>
    <row r="69" spans="1:12">
      <c r="A69" s="664"/>
      <c r="B69" s="683"/>
      <c r="C69" s="198" t="s">
        <v>1699</v>
      </c>
      <c r="D69" s="214">
        <v>5.1529999999999999E-2</v>
      </c>
      <c r="E69" s="215"/>
      <c r="F69" s="190"/>
      <c r="G69" s="190"/>
      <c r="H69" s="190"/>
      <c r="I69" s="190"/>
      <c r="J69" s="190"/>
      <c r="K69" s="190"/>
      <c r="L69" s="190"/>
    </row>
    <row r="70" spans="1:12">
      <c r="A70" s="664"/>
      <c r="B70" s="683" t="s">
        <v>1711</v>
      </c>
      <c r="C70" s="198" t="s">
        <v>1635</v>
      </c>
      <c r="D70" s="214">
        <v>733.64436000000001</v>
      </c>
      <c r="E70" s="215"/>
      <c r="F70" s="190"/>
      <c r="G70" s="190"/>
      <c r="H70" s="190"/>
      <c r="I70" s="190"/>
      <c r="J70" s="190"/>
      <c r="K70" s="190"/>
      <c r="L70" s="190"/>
    </row>
    <row r="71" spans="1:12">
      <c r="A71" s="664"/>
      <c r="B71" s="683"/>
      <c r="C71" s="198" t="s">
        <v>1697</v>
      </c>
      <c r="D71" s="214">
        <v>0.61101000000000005</v>
      </c>
      <c r="E71" s="215"/>
      <c r="F71" s="190"/>
      <c r="G71" s="190"/>
      <c r="H71" s="190"/>
      <c r="I71" s="190"/>
      <c r="J71" s="190"/>
      <c r="K71" s="190"/>
      <c r="L71" s="190"/>
    </row>
    <row r="72" spans="1:12">
      <c r="A72" s="664"/>
      <c r="B72" s="683"/>
      <c r="C72" s="198" t="s">
        <v>1698</v>
      </c>
      <c r="D72" s="214">
        <v>6.1809999999999997E-2</v>
      </c>
      <c r="E72" s="215"/>
      <c r="F72" s="190"/>
      <c r="G72" s="190"/>
      <c r="H72" s="190"/>
      <c r="I72" s="190"/>
      <c r="J72" s="190"/>
      <c r="K72" s="190"/>
      <c r="L72" s="190"/>
    </row>
    <row r="73" spans="1:12">
      <c r="A73" s="664"/>
      <c r="B73" s="683"/>
      <c r="C73" s="198" t="s">
        <v>1699</v>
      </c>
      <c r="D73" s="214">
        <v>5.8160000000000003E-2</v>
      </c>
      <c r="E73" s="215"/>
      <c r="F73" s="190"/>
      <c r="G73" s="190"/>
      <c r="H73" s="190"/>
      <c r="I73" s="190"/>
      <c r="J73" s="190"/>
      <c r="K73" s="190"/>
      <c r="L73" s="190"/>
    </row>
    <row r="74" spans="1:12">
      <c r="A74" s="664"/>
      <c r="B74" s="683" t="s">
        <v>1712</v>
      </c>
      <c r="C74" s="198" t="s">
        <v>1635</v>
      </c>
      <c r="D74" s="214">
        <v>752.02760000000001</v>
      </c>
      <c r="E74" s="215"/>
      <c r="F74" s="190"/>
      <c r="G74" s="190"/>
      <c r="H74" s="190"/>
      <c r="I74" s="190"/>
      <c r="J74" s="190"/>
      <c r="K74" s="190"/>
      <c r="L74" s="190"/>
    </row>
    <row r="75" spans="1:12">
      <c r="A75" s="664"/>
      <c r="B75" s="683"/>
      <c r="C75" s="198" t="s">
        <v>1697</v>
      </c>
      <c r="D75" s="214">
        <v>0.62409000000000003</v>
      </c>
      <c r="E75" s="215"/>
      <c r="F75" s="190"/>
      <c r="G75" s="190"/>
      <c r="H75" s="190"/>
      <c r="I75" s="190"/>
      <c r="J75" s="190"/>
      <c r="K75" s="190"/>
      <c r="L75" s="190"/>
    </row>
    <row r="76" spans="1:12">
      <c r="A76" s="664"/>
      <c r="B76" s="683"/>
      <c r="C76" s="198" t="s">
        <v>1698</v>
      </c>
      <c r="D76" s="214">
        <v>6.2909999999999994E-2</v>
      </c>
      <c r="E76" s="215"/>
      <c r="F76" s="190"/>
      <c r="G76" s="190"/>
      <c r="H76" s="190"/>
      <c r="I76" s="190"/>
      <c r="J76" s="190"/>
      <c r="K76" s="190"/>
      <c r="L76" s="190"/>
    </row>
    <row r="77" spans="1:12">
      <c r="A77" s="664"/>
      <c r="B77" s="683"/>
      <c r="C77" s="198" t="s">
        <v>1699</v>
      </c>
      <c r="D77" s="214">
        <v>5.9130000000000002E-2</v>
      </c>
      <c r="E77" s="215"/>
      <c r="F77" s="190"/>
      <c r="G77" s="190"/>
      <c r="H77" s="190"/>
      <c r="I77" s="190"/>
      <c r="J77" s="190"/>
      <c r="K77" s="190"/>
      <c r="L77" s="190"/>
    </row>
    <row r="78" spans="1:12">
      <c r="A78" s="664"/>
      <c r="B78" s="683" t="s">
        <v>1713</v>
      </c>
      <c r="C78" s="198" t="s">
        <v>1635</v>
      </c>
      <c r="D78" s="214">
        <v>714.86545000000001</v>
      </c>
      <c r="E78" s="215"/>
      <c r="F78" s="190"/>
      <c r="G78" s="190"/>
      <c r="H78" s="190"/>
      <c r="I78" s="190"/>
      <c r="J78" s="190"/>
      <c r="K78" s="190"/>
      <c r="L78" s="190"/>
    </row>
    <row r="79" spans="1:12">
      <c r="A79" s="664"/>
      <c r="B79" s="683"/>
      <c r="C79" s="198" t="s">
        <v>1697</v>
      </c>
      <c r="D79" s="214">
        <v>0.69538999999999995</v>
      </c>
      <c r="E79" s="215"/>
      <c r="F79" s="190"/>
      <c r="G79" s="190"/>
      <c r="H79" s="190"/>
      <c r="I79" s="190"/>
      <c r="J79" s="190"/>
      <c r="K79" s="190"/>
      <c r="L79" s="190"/>
    </row>
    <row r="80" spans="1:12">
      <c r="A80" s="664"/>
      <c r="B80" s="683"/>
      <c r="C80" s="198" t="s">
        <v>1698</v>
      </c>
      <c r="D80" s="214">
        <v>6.2909999999999994E-2</v>
      </c>
      <c r="E80" s="215"/>
      <c r="F80" s="190"/>
      <c r="G80" s="190"/>
      <c r="H80" s="190"/>
      <c r="I80" s="190"/>
      <c r="J80" s="190"/>
      <c r="K80" s="190"/>
      <c r="L80" s="190"/>
    </row>
    <row r="81" spans="1:12">
      <c r="A81" s="664"/>
      <c r="B81" s="683"/>
      <c r="C81" s="198" t="s">
        <v>1699</v>
      </c>
      <c r="D81" s="214">
        <v>5.9130000000000002E-2</v>
      </c>
      <c r="E81" s="215"/>
      <c r="F81" s="190"/>
      <c r="G81" s="190"/>
      <c r="H81" s="190"/>
      <c r="I81" s="190"/>
      <c r="J81" s="190"/>
      <c r="K81" s="190"/>
      <c r="L81" s="190"/>
    </row>
    <row r="82" spans="1:12">
      <c r="A82" s="664"/>
      <c r="B82" s="683" t="s">
        <v>1714</v>
      </c>
      <c r="C82" s="198" t="s">
        <v>1635</v>
      </c>
      <c r="D82" s="214">
        <v>743.83524</v>
      </c>
      <c r="E82" s="215"/>
      <c r="F82" s="190"/>
      <c r="G82" s="190"/>
      <c r="H82" s="190"/>
      <c r="I82" s="190"/>
      <c r="J82" s="190"/>
      <c r="K82" s="190"/>
      <c r="L82" s="190"/>
    </row>
    <row r="83" spans="1:12">
      <c r="A83" s="664"/>
      <c r="B83" s="683"/>
      <c r="C83" s="198" t="s">
        <v>1697</v>
      </c>
      <c r="D83" s="214">
        <v>0.62665000000000004</v>
      </c>
      <c r="E83" s="215"/>
      <c r="F83" s="190"/>
      <c r="G83" s="190"/>
      <c r="H83" s="190"/>
      <c r="I83" s="190"/>
      <c r="J83" s="190"/>
      <c r="K83" s="190"/>
      <c r="L83" s="190"/>
    </row>
    <row r="84" spans="1:12">
      <c r="A84" s="664"/>
      <c r="B84" s="683"/>
      <c r="C84" s="198" t="s">
        <v>1698</v>
      </c>
      <c r="D84" s="214">
        <v>6.2909999999999994E-2</v>
      </c>
      <c r="E84" s="215"/>
      <c r="F84" s="190"/>
      <c r="G84" s="190"/>
      <c r="H84" s="190"/>
      <c r="I84" s="190"/>
      <c r="J84" s="190"/>
      <c r="K84" s="190"/>
      <c r="L84" s="190"/>
    </row>
    <row r="85" spans="1:12">
      <c r="A85" s="664"/>
      <c r="B85" s="683"/>
      <c r="C85" s="198" t="s">
        <v>1699</v>
      </c>
      <c r="D85" s="214">
        <v>5.9130000000000002E-2</v>
      </c>
      <c r="E85" s="215"/>
      <c r="F85" s="190"/>
      <c r="G85" s="190"/>
      <c r="H85" s="190"/>
      <c r="I85" s="190"/>
      <c r="J85" s="190"/>
      <c r="K85" s="190"/>
      <c r="L85" s="190"/>
    </row>
    <row r="86" spans="1:12">
      <c r="A86" s="664"/>
      <c r="B86" s="683" t="s">
        <v>1715</v>
      </c>
      <c r="C86" s="198" t="s">
        <v>1635</v>
      </c>
      <c r="D86" s="214">
        <v>1116.8371199999999</v>
      </c>
      <c r="E86" s="215"/>
      <c r="F86" s="190"/>
      <c r="G86" s="190"/>
      <c r="H86" s="190"/>
      <c r="I86" s="190"/>
      <c r="J86" s="190"/>
      <c r="K86" s="190"/>
      <c r="L86" s="190"/>
    </row>
    <row r="87" spans="1:12">
      <c r="A87" s="664"/>
      <c r="B87" s="683"/>
      <c r="C87" s="198" t="s">
        <v>1697</v>
      </c>
      <c r="D87" s="218"/>
      <c r="E87" s="215"/>
      <c r="F87" s="190"/>
      <c r="G87" s="190"/>
      <c r="H87" s="190"/>
      <c r="I87" s="190"/>
      <c r="J87" s="190"/>
      <c r="K87" s="190"/>
      <c r="L87" s="190"/>
    </row>
    <row r="88" spans="1:12">
      <c r="A88" s="664"/>
      <c r="B88" s="683"/>
      <c r="C88" s="198" t="s">
        <v>1698</v>
      </c>
      <c r="D88" s="214">
        <v>9.8280000000000006E-2</v>
      </c>
      <c r="E88" s="215"/>
      <c r="F88" s="190"/>
      <c r="G88" s="190"/>
      <c r="H88" s="190"/>
      <c r="I88" s="190"/>
      <c r="J88" s="190"/>
      <c r="K88" s="190"/>
      <c r="L88" s="190"/>
    </row>
    <row r="89" spans="1:12">
      <c r="A89" s="664"/>
      <c r="B89" s="683"/>
      <c r="C89" s="198" t="s">
        <v>1699</v>
      </c>
      <c r="D89" s="214">
        <v>9.2380000000000004E-2</v>
      </c>
      <c r="E89" s="215"/>
      <c r="F89" s="190"/>
      <c r="G89" s="190"/>
      <c r="H89" s="190"/>
      <c r="I89" s="190"/>
      <c r="J89" s="190"/>
      <c r="K89" s="190"/>
      <c r="L89" s="190"/>
    </row>
    <row r="90" spans="1:12">
      <c r="A90" s="664"/>
      <c r="B90" s="683" t="s">
        <v>382</v>
      </c>
      <c r="C90" s="198" t="s">
        <v>1635</v>
      </c>
      <c r="D90" s="214">
        <v>640.41463999999996</v>
      </c>
      <c r="E90" s="215"/>
      <c r="F90" s="190"/>
      <c r="G90" s="190"/>
      <c r="H90" s="190"/>
      <c r="I90" s="190"/>
      <c r="J90" s="190"/>
      <c r="K90" s="190"/>
      <c r="L90" s="190"/>
    </row>
    <row r="91" spans="1:12">
      <c r="A91" s="664"/>
      <c r="B91" s="683"/>
      <c r="C91" s="198" t="s">
        <v>1697</v>
      </c>
      <c r="D91" s="218"/>
      <c r="E91" s="215"/>
      <c r="F91" s="190"/>
      <c r="G91" s="190"/>
      <c r="H91" s="190"/>
      <c r="I91" s="190"/>
      <c r="J91" s="190"/>
      <c r="K91" s="190"/>
      <c r="L91" s="190"/>
    </row>
    <row r="92" spans="1:12">
      <c r="A92" s="664"/>
      <c r="B92" s="683"/>
      <c r="C92" s="198" t="s">
        <v>1698</v>
      </c>
      <c r="D92" s="214">
        <v>5.076E-2</v>
      </c>
      <c r="E92" s="215"/>
      <c r="F92" s="190"/>
      <c r="G92" s="190"/>
      <c r="H92" s="190"/>
      <c r="I92" s="190"/>
      <c r="J92" s="190"/>
      <c r="K92" s="190"/>
      <c r="L92" s="190"/>
    </row>
    <row r="93" spans="1:12">
      <c r="A93" s="664"/>
      <c r="B93" s="683"/>
      <c r="C93" s="198" t="s">
        <v>1699</v>
      </c>
      <c r="D93" s="214">
        <v>4.8219999999999999E-2</v>
      </c>
      <c r="E93" s="215"/>
      <c r="F93" s="190"/>
      <c r="G93" s="190"/>
      <c r="H93" s="190"/>
      <c r="I93" s="190"/>
      <c r="J93" s="190"/>
      <c r="K93" s="190"/>
      <c r="L93" s="190"/>
    </row>
    <row r="94" spans="1:12">
      <c r="A94" s="664"/>
      <c r="B94" s="683" t="s">
        <v>1716</v>
      </c>
      <c r="C94" s="198" t="s">
        <v>1635</v>
      </c>
      <c r="D94" s="214">
        <v>777.33392000000003</v>
      </c>
      <c r="E94" s="215"/>
      <c r="F94" s="190"/>
      <c r="G94" s="190"/>
      <c r="H94" s="190"/>
      <c r="I94" s="190"/>
      <c r="J94" s="190"/>
      <c r="K94" s="190"/>
      <c r="L94" s="190"/>
    </row>
    <row r="95" spans="1:12">
      <c r="A95" s="664"/>
      <c r="B95" s="683"/>
      <c r="C95" s="198" t="s">
        <v>1697</v>
      </c>
      <c r="D95" s="214">
        <v>0.58094000000000001</v>
      </c>
      <c r="E95" s="215"/>
      <c r="F95" s="190"/>
      <c r="G95" s="190"/>
      <c r="H95" s="190"/>
      <c r="I95" s="190"/>
      <c r="J95" s="190"/>
      <c r="K95" s="190"/>
      <c r="L95" s="190"/>
    </row>
    <row r="96" spans="1:12">
      <c r="A96" s="664"/>
      <c r="B96" s="683"/>
      <c r="C96" s="198" t="s">
        <v>1698</v>
      </c>
      <c r="D96" s="214">
        <v>6.4799999999999996E-2</v>
      </c>
      <c r="E96" s="215"/>
      <c r="F96" s="190"/>
      <c r="G96" s="190"/>
      <c r="H96" s="190"/>
      <c r="I96" s="190"/>
      <c r="J96" s="190"/>
      <c r="K96" s="190"/>
      <c r="L96" s="190"/>
    </row>
    <row r="97" spans="1:12">
      <c r="A97" s="664"/>
      <c r="B97" s="683"/>
      <c r="C97" s="198" t="s">
        <v>1699</v>
      </c>
      <c r="D97" s="214">
        <v>6.1400000000000003E-2</v>
      </c>
      <c r="E97" s="215"/>
      <c r="F97" s="190"/>
      <c r="G97" s="190"/>
      <c r="H97" s="190"/>
      <c r="I97" s="190"/>
      <c r="J97" s="190"/>
      <c r="K97" s="190"/>
      <c r="L97" s="190"/>
    </row>
    <row r="98" spans="1:12">
      <c r="A98" s="664"/>
      <c r="B98" s="683" t="s">
        <v>1576</v>
      </c>
      <c r="C98" s="198" t="s">
        <v>1635</v>
      </c>
      <c r="D98" s="214">
        <v>815.93523000000005</v>
      </c>
      <c r="E98" s="215"/>
      <c r="F98" s="190"/>
      <c r="G98" s="190"/>
      <c r="H98" s="190"/>
      <c r="I98" s="190"/>
      <c r="J98" s="190"/>
      <c r="K98" s="190"/>
      <c r="L98" s="190"/>
    </row>
    <row r="99" spans="1:12">
      <c r="A99" s="664"/>
      <c r="B99" s="683"/>
      <c r="C99" s="198" t="s">
        <v>1697</v>
      </c>
      <c r="D99" s="214">
        <v>0.60663999999999996</v>
      </c>
      <c r="E99" s="215"/>
      <c r="F99" s="190"/>
      <c r="G99" s="190"/>
      <c r="H99" s="190"/>
      <c r="I99" s="190"/>
      <c r="J99" s="190"/>
      <c r="K99" s="190"/>
      <c r="L99" s="190"/>
    </row>
    <row r="100" spans="1:12">
      <c r="A100" s="664"/>
      <c r="B100" s="683"/>
      <c r="C100" s="198" t="s">
        <v>1698</v>
      </c>
      <c r="D100" s="214">
        <v>6.5820000000000004E-2</v>
      </c>
      <c r="E100" s="215"/>
      <c r="F100" s="190"/>
      <c r="G100" s="190"/>
      <c r="H100" s="190"/>
      <c r="I100" s="190"/>
      <c r="J100" s="190"/>
      <c r="K100" s="190"/>
      <c r="L100" s="190"/>
    </row>
    <row r="101" spans="1:12">
      <c r="A101" s="664"/>
      <c r="B101" s="683"/>
      <c r="C101" s="198" t="s">
        <v>1699</v>
      </c>
      <c r="D101" s="214">
        <v>6.2530000000000002E-2</v>
      </c>
      <c r="E101" s="215"/>
      <c r="F101" s="190"/>
      <c r="G101" s="190"/>
      <c r="H101" s="190"/>
      <c r="I101" s="190"/>
      <c r="J101" s="190"/>
      <c r="K101" s="190"/>
      <c r="L101" s="190"/>
    </row>
    <row r="102" spans="1:12">
      <c r="A102" s="664"/>
      <c r="B102" s="683" t="s">
        <v>1717</v>
      </c>
      <c r="C102" s="198" t="s">
        <v>1635</v>
      </c>
      <c r="D102" s="214">
        <v>1132.08149</v>
      </c>
      <c r="E102" s="215"/>
      <c r="F102" s="190"/>
      <c r="G102" s="190"/>
      <c r="H102" s="190"/>
      <c r="I102" s="190"/>
      <c r="J102" s="190"/>
      <c r="K102" s="190"/>
      <c r="L102" s="190"/>
    </row>
    <row r="103" spans="1:12">
      <c r="A103" s="664"/>
      <c r="B103" s="683"/>
      <c r="C103" s="198" t="s">
        <v>1697</v>
      </c>
      <c r="D103" s="214">
        <v>1.1012500000000001</v>
      </c>
      <c r="E103" s="215"/>
      <c r="F103" s="190"/>
      <c r="G103" s="190"/>
      <c r="H103" s="190"/>
      <c r="I103" s="190"/>
      <c r="J103" s="190"/>
      <c r="K103" s="190"/>
      <c r="L103" s="190"/>
    </row>
    <row r="104" spans="1:12">
      <c r="A104" s="664"/>
      <c r="B104" s="683"/>
      <c r="C104" s="198" t="s">
        <v>1698</v>
      </c>
      <c r="D104" s="214">
        <v>9.962E-2</v>
      </c>
      <c r="E104" s="215"/>
      <c r="F104" s="190"/>
      <c r="G104" s="190"/>
      <c r="H104" s="190"/>
      <c r="I104" s="190"/>
      <c r="J104" s="190"/>
      <c r="K104" s="190"/>
      <c r="L104" s="190"/>
    </row>
    <row r="105" spans="1:12">
      <c r="A105" s="664"/>
      <c r="B105" s="683"/>
      <c r="C105" s="198" t="s">
        <v>1699</v>
      </c>
      <c r="D105" s="214">
        <v>9.3640000000000001E-2</v>
      </c>
      <c r="E105" s="215"/>
      <c r="F105" s="190"/>
      <c r="G105" s="190"/>
      <c r="H105" s="190"/>
      <c r="I105" s="190"/>
      <c r="J105" s="190"/>
      <c r="K105" s="190"/>
      <c r="L105" s="190"/>
    </row>
    <row r="106" spans="1:12">
      <c r="A106" s="664"/>
      <c r="B106" s="683" t="s">
        <v>1718</v>
      </c>
      <c r="C106" s="198" t="s">
        <v>1635</v>
      </c>
      <c r="D106" s="214">
        <v>1123.49881</v>
      </c>
      <c r="E106" s="215"/>
      <c r="F106" s="190"/>
      <c r="G106" s="190"/>
      <c r="H106" s="190"/>
      <c r="I106" s="190"/>
      <c r="J106" s="190"/>
      <c r="K106" s="190"/>
      <c r="L106" s="190"/>
    </row>
    <row r="107" spans="1:12">
      <c r="A107" s="664"/>
      <c r="B107" s="683"/>
      <c r="C107" s="198" t="s">
        <v>1697</v>
      </c>
      <c r="D107" s="214">
        <v>0.94650000000000001</v>
      </c>
      <c r="E107" s="215"/>
      <c r="F107" s="190"/>
      <c r="G107" s="190"/>
      <c r="H107" s="190"/>
      <c r="I107" s="190"/>
      <c r="J107" s="190"/>
      <c r="K107" s="190"/>
      <c r="L107" s="190"/>
    </row>
    <row r="108" spans="1:12">
      <c r="A108" s="664"/>
      <c r="B108" s="683"/>
      <c r="C108" s="198" t="s">
        <v>1698</v>
      </c>
      <c r="D108" s="214">
        <v>9.5009999999999997E-2</v>
      </c>
      <c r="E108" s="215"/>
      <c r="F108" s="190"/>
      <c r="G108" s="190"/>
      <c r="H108" s="190"/>
      <c r="I108" s="190"/>
      <c r="J108" s="190"/>
      <c r="K108" s="190"/>
      <c r="L108" s="190"/>
    </row>
    <row r="109" spans="1:12">
      <c r="A109" s="664"/>
      <c r="B109" s="683"/>
      <c r="C109" s="198" t="s">
        <v>1699</v>
      </c>
      <c r="D109" s="214">
        <v>8.931E-2</v>
      </c>
      <c r="E109" s="215"/>
      <c r="F109" s="190"/>
      <c r="G109" s="190"/>
      <c r="H109" s="190"/>
      <c r="I109" s="190"/>
      <c r="J109" s="190"/>
      <c r="K109" s="190"/>
      <c r="L109" s="190"/>
    </row>
    <row r="110" spans="1:12">
      <c r="A110" s="664"/>
      <c r="B110" s="683" t="s">
        <v>1719</v>
      </c>
      <c r="C110" s="198" t="s">
        <v>1635</v>
      </c>
      <c r="D110" s="214">
        <v>348.98257999999998</v>
      </c>
      <c r="E110" s="215"/>
      <c r="F110" s="190"/>
      <c r="G110" s="190"/>
      <c r="H110" s="190"/>
      <c r="I110" s="190"/>
      <c r="J110" s="190"/>
      <c r="K110" s="190"/>
      <c r="L110" s="190"/>
    </row>
    <row r="111" spans="1:12">
      <c r="A111" s="664"/>
      <c r="B111" s="683"/>
      <c r="C111" s="198" t="s">
        <v>1697</v>
      </c>
      <c r="D111" s="218"/>
      <c r="E111" s="215"/>
      <c r="F111" s="190"/>
      <c r="G111" s="190"/>
      <c r="H111" s="190"/>
      <c r="I111" s="190"/>
      <c r="J111" s="190"/>
      <c r="K111" s="190"/>
      <c r="L111" s="190"/>
    </row>
    <row r="112" spans="1:12">
      <c r="A112" s="664"/>
      <c r="B112" s="683"/>
      <c r="C112" s="198" t="s">
        <v>1698</v>
      </c>
      <c r="D112" s="214">
        <v>3.0769999999999999E-2</v>
      </c>
      <c r="E112" s="215"/>
      <c r="F112" s="190"/>
      <c r="G112" s="190"/>
      <c r="H112" s="190"/>
      <c r="I112" s="190"/>
      <c r="J112" s="190"/>
      <c r="K112" s="190"/>
      <c r="L112" s="190"/>
    </row>
    <row r="113" spans="1:12">
      <c r="A113" s="664"/>
      <c r="B113" s="683"/>
      <c r="C113" s="198" t="s">
        <v>1699</v>
      </c>
      <c r="D113" s="214">
        <v>2.9229999999999999E-2</v>
      </c>
      <c r="E113" s="215"/>
      <c r="F113" s="190"/>
      <c r="G113" s="190"/>
      <c r="H113" s="190"/>
      <c r="I113" s="190"/>
      <c r="J113" s="190"/>
      <c r="K113" s="190"/>
      <c r="L113" s="190"/>
    </row>
    <row r="114" spans="1:12">
      <c r="A114" s="664"/>
      <c r="B114" s="683" t="s">
        <v>1720</v>
      </c>
      <c r="C114" s="198" t="s">
        <v>1635</v>
      </c>
      <c r="D114" s="214">
        <v>1116.8371199999999</v>
      </c>
      <c r="E114" s="215"/>
      <c r="F114" s="190"/>
      <c r="G114" s="190"/>
      <c r="H114" s="190"/>
      <c r="I114" s="190"/>
      <c r="J114" s="190"/>
      <c r="K114" s="190"/>
      <c r="L114" s="190"/>
    </row>
    <row r="115" spans="1:12">
      <c r="A115" s="664"/>
      <c r="B115" s="683"/>
      <c r="C115" s="198" t="s">
        <v>1697</v>
      </c>
      <c r="D115" s="218"/>
      <c r="E115" s="215"/>
      <c r="F115" s="190"/>
      <c r="G115" s="190"/>
      <c r="H115" s="190"/>
      <c r="I115" s="190"/>
      <c r="J115" s="190"/>
      <c r="K115" s="190"/>
      <c r="L115" s="190"/>
    </row>
    <row r="116" spans="1:12">
      <c r="A116" s="664"/>
      <c r="B116" s="683"/>
      <c r="C116" s="198" t="s">
        <v>1698</v>
      </c>
      <c r="D116" s="214">
        <v>9.5259999999999997E-2</v>
      </c>
      <c r="E116" s="215"/>
      <c r="F116" s="190"/>
      <c r="G116" s="190"/>
      <c r="H116" s="190"/>
      <c r="I116" s="190"/>
      <c r="J116" s="190"/>
      <c r="K116" s="190"/>
      <c r="L116" s="190"/>
    </row>
    <row r="117" spans="1:12">
      <c r="A117" s="664"/>
      <c r="B117" s="683"/>
      <c r="C117" s="198" t="s">
        <v>1699</v>
      </c>
      <c r="D117" s="214">
        <v>8.8950000000000001E-2</v>
      </c>
      <c r="E117" s="215"/>
      <c r="F117" s="190"/>
      <c r="G117" s="190"/>
      <c r="H117" s="190"/>
      <c r="I117" s="190"/>
      <c r="J117" s="190"/>
      <c r="K117" s="190"/>
      <c r="L117" s="190"/>
    </row>
    <row r="118" spans="1:12">
      <c r="A118" s="664"/>
      <c r="B118" s="683" t="s">
        <v>1721</v>
      </c>
      <c r="C118" s="198" t="s">
        <v>1635</v>
      </c>
      <c r="D118" s="214">
        <v>743.83524</v>
      </c>
      <c r="E118" s="215"/>
      <c r="F118" s="190"/>
      <c r="G118" s="190"/>
      <c r="H118" s="190"/>
      <c r="I118" s="190"/>
      <c r="J118" s="190"/>
      <c r="K118" s="190"/>
      <c r="L118" s="190"/>
    </row>
    <row r="119" spans="1:12">
      <c r="A119" s="664"/>
      <c r="B119" s="683"/>
      <c r="C119" s="198" t="s">
        <v>1697</v>
      </c>
      <c r="D119" s="214">
        <v>0.62665000000000004</v>
      </c>
      <c r="E119" s="215"/>
      <c r="F119" s="190"/>
      <c r="G119" s="190"/>
      <c r="H119" s="190"/>
      <c r="I119" s="190"/>
      <c r="J119" s="190"/>
      <c r="K119" s="190"/>
      <c r="L119" s="190"/>
    </row>
    <row r="120" spans="1:12">
      <c r="A120" s="664"/>
      <c r="B120" s="683"/>
      <c r="C120" s="198" t="s">
        <v>1698</v>
      </c>
      <c r="D120" s="214">
        <v>6.2909999999999994E-2</v>
      </c>
      <c r="E120" s="215"/>
      <c r="F120" s="190"/>
      <c r="G120" s="190"/>
      <c r="H120" s="190"/>
      <c r="I120" s="190"/>
      <c r="J120" s="190"/>
      <c r="K120" s="190"/>
      <c r="L120" s="190"/>
    </row>
    <row r="121" spans="1:12">
      <c r="A121" s="664"/>
      <c r="B121" s="683"/>
      <c r="C121" s="198" t="s">
        <v>1699</v>
      </c>
      <c r="D121" s="214">
        <v>5.9130000000000002E-2</v>
      </c>
      <c r="E121" s="215"/>
      <c r="F121" s="190"/>
      <c r="G121" s="190"/>
      <c r="H121" s="190"/>
      <c r="I121" s="190"/>
      <c r="J121" s="190"/>
      <c r="K121" s="190"/>
      <c r="L121" s="190"/>
    </row>
    <row r="122" spans="1:12">
      <c r="A122" s="664"/>
      <c r="B122" s="683" t="s">
        <v>1722</v>
      </c>
      <c r="C122" s="198" t="s">
        <v>1635</v>
      </c>
      <c r="D122" s="214">
        <v>714.86545000000001</v>
      </c>
      <c r="E122" s="215"/>
      <c r="F122" s="190"/>
      <c r="G122" s="190"/>
      <c r="H122" s="190"/>
      <c r="I122" s="190"/>
      <c r="J122" s="190"/>
      <c r="K122" s="190"/>
      <c r="L122" s="190"/>
    </row>
    <row r="123" spans="1:12">
      <c r="A123" s="664"/>
      <c r="B123" s="683"/>
      <c r="C123" s="198" t="s">
        <v>1697</v>
      </c>
      <c r="D123" s="214">
        <v>0.69538999999999995</v>
      </c>
      <c r="E123" s="215"/>
      <c r="F123" s="190"/>
      <c r="G123" s="190"/>
      <c r="H123" s="190"/>
      <c r="I123" s="190"/>
      <c r="J123" s="190"/>
      <c r="K123" s="190"/>
      <c r="L123" s="190"/>
    </row>
    <row r="124" spans="1:12">
      <c r="A124" s="664"/>
      <c r="B124" s="683"/>
      <c r="C124" s="198" t="s">
        <v>1698</v>
      </c>
      <c r="D124" s="214">
        <v>6.2909999999999994E-2</v>
      </c>
      <c r="E124" s="215"/>
      <c r="F124" s="190"/>
      <c r="G124" s="190"/>
      <c r="H124" s="190"/>
      <c r="I124" s="190"/>
      <c r="J124" s="190"/>
      <c r="K124" s="190"/>
      <c r="L124" s="190"/>
    </row>
    <row r="125" spans="1:12">
      <c r="A125" s="664"/>
      <c r="B125" s="683"/>
      <c r="C125" s="198" t="s">
        <v>1699</v>
      </c>
      <c r="D125" s="214">
        <v>5.9130000000000002E-2</v>
      </c>
      <c r="E125" s="215"/>
      <c r="F125" s="190"/>
      <c r="G125" s="190"/>
      <c r="H125" s="190"/>
      <c r="I125" s="190"/>
      <c r="J125" s="190"/>
      <c r="K125" s="190"/>
      <c r="L125" s="190"/>
    </row>
    <row r="126" spans="1:12">
      <c r="A126" s="194"/>
      <c r="B126" s="216"/>
      <c r="C126" s="194"/>
      <c r="D126" s="217"/>
      <c r="E126" s="215"/>
      <c r="F126" s="190"/>
      <c r="G126" s="190"/>
      <c r="H126" s="190"/>
      <c r="I126" s="190"/>
      <c r="J126" s="190"/>
      <c r="K126" s="190"/>
      <c r="L126" s="190"/>
    </row>
    <row r="127" spans="1:12">
      <c r="A127" s="194"/>
      <c r="B127" s="216"/>
      <c r="C127" s="194"/>
      <c r="D127" s="217"/>
      <c r="E127" s="215"/>
      <c r="F127" s="190"/>
      <c r="G127" s="190"/>
      <c r="H127" s="190"/>
      <c r="I127" s="190"/>
      <c r="J127" s="190"/>
      <c r="K127" s="190"/>
      <c r="L127" s="190"/>
    </row>
    <row r="128" spans="1:12">
      <c r="A128" s="194"/>
      <c r="B128" s="216"/>
      <c r="C128" s="194"/>
      <c r="D128" s="217"/>
      <c r="E128" s="215"/>
      <c r="F128" s="190"/>
      <c r="G128" s="190"/>
      <c r="H128" s="190"/>
      <c r="I128" s="190"/>
      <c r="J128" s="190"/>
      <c r="K128" s="190"/>
      <c r="L128" s="190"/>
    </row>
    <row r="129" spans="1:12" ht="15.6">
      <c r="A129" s="196" t="s">
        <v>1629</v>
      </c>
      <c r="B129" s="212" t="s">
        <v>625</v>
      </c>
      <c r="C129" s="196" t="s">
        <v>1631</v>
      </c>
      <c r="D129" s="213" t="s">
        <v>1632</v>
      </c>
      <c r="E129" s="215"/>
      <c r="F129" s="190"/>
      <c r="G129" s="190"/>
      <c r="H129" s="190"/>
      <c r="I129" s="190"/>
      <c r="J129" s="190"/>
      <c r="K129" s="190"/>
      <c r="L129" s="190"/>
    </row>
    <row r="130" spans="1:12">
      <c r="A130" s="664" t="s">
        <v>1723</v>
      </c>
      <c r="B130" s="683" t="s">
        <v>1724</v>
      </c>
      <c r="C130" s="198" t="s">
        <v>1635</v>
      </c>
      <c r="D130" s="214">
        <v>418.14963999999998</v>
      </c>
      <c r="E130" s="215"/>
      <c r="F130" s="190"/>
      <c r="G130" s="190"/>
      <c r="H130" s="190"/>
      <c r="I130" s="190"/>
      <c r="J130" s="190"/>
      <c r="K130" s="190"/>
      <c r="L130" s="190"/>
    </row>
    <row r="131" spans="1:12">
      <c r="A131" s="664"/>
      <c r="B131" s="683"/>
      <c r="C131" s="198" t="s">
        <v>1698</v>
      </c>
      <c r="D131" s="214">
        <v>5.9249999999999997E-2</v>
      </c>
      <c r="E131" s="215"/>
      <c r="F131" s="190"/>
      <c r="G131" s="190"/>
      <c r="H131" s="190"/>
      <c r="I131" s="190"/>
      <c r="J131" s="190"/>
      <c r="K131" s="190"/>
      <c r="L131" s="190"/>
    </row>
    <row r="132" spans="1:12">
      <c r="A132" s="664"/>
      <c r="B132" s="683"/>
      <c r="C132" s="198" t="s">
        <v>1699</v>
      </c>
      <c r="D132" s="214">
        <v>5.629E-2</v>
      </c>
      <c r="E132" s="215"/>
      <c r="F132" s="190"/>
      <c r="G132" s="190"/>
      <c r="H132" s="190"/>
      <c r="I132" s="190"/>
      <c r="J132" s="190"/>
      <c r="K132" s="190"/>
      <c r="L132" s="190"/>
    </row>
    <row r="133" spans="1:12">
      <c r="A133" s="664"/>
      <c r="B133" s="683" t="s">
        <v>1725</v>
      </c>
      <c r="C133" s="198" t="s">
        <v>1635</v>
      </c>
      <c r="D133" s="214">
        <v>390.06646999999998</v>
      </c>
      <c r="E133" s="215"/>
      <c r="F133" s="190"/>
      <c r="G133" s="190"/>
      <c r="H133" s="190"/>
      <c r="I133" s="190"/>
      <c r="J133" s="190"/>
      <c r="K133" s="190"/>
      <c r="L133" s="190"/>
    </row>
    <row r="134" spans="1:12">
      <c r="A134" s="664"/>
      <c r="B134" s="683"/>
      <c r="C134" s="198" t="s">
        <v>1698</v>
      </c>
      <c r="D134" s="214">
        <v>5.9249999999999997E-2</v>
      </c>
      <c r="E134" s="215"/>
      <c r="F134" s="190"/>
      <c r="G134" s="190"/>
      <c r="H134" s="190"/>
      <c r="I134" s="190"/>
      <c r="J134" s="190"/>
      <c r="K134" s="190"/>
      <c r="L134" s="190"/>
    </row>
    <row r="135" spans="1:12">
      <c r="A135" s="664"/>
      <c r="B135" s="683"/>
      <c r="C135" s="198" t="s">
        <v>1699</v>
      </c>
      <c r="D135" s="214">
        <v>5.629E-2</v>
      </c>
      <c r="E135" s="215"/>
      <c r="F135" s="190"/>
      <c r="G135" s="190"/>
      <c r="H135" s="190"/>
      <c r="I135" s="190"/>
      <c r="J135" s="190"/>
      <c r="K135" s="190"/>
      <c r="L135" s="190"/>
    </row>
    <row r="136" spans="1:12">
      <c r="A136" s="664"/>
      <c r="B136" s="683" t="s">
        <v>1726</v>
      </c>
      <c r="C136" s="198" t="s">
        <v>1635</v>
      </c>
      <c r="D136" s="214">
        <v>470.95724000000001</v>
      </c>
      <c r="E136" s="215"/>
      <c r="F136" s="190"/>
      <c r="G136" s="190"/>
      <c r="H136" s="190"/>
      <c r="I136" s="190"/>
      <c r="J136" s="190"/>
      <c r="K136" s="190"/>
      <c r="L136" s="190"/>
    </row>
    <row r="137" spans="1:12">
      <c r="A137" s="664"/>
      <c r="B137" s="683"/>
      <c r="C137" s="198" t="s">
        <v>1698</v>
      </c>
      <c r="D137" s="214">
        <v>5.9249999999999997E-2</v>
      </c>
      <c r="E137" s="215"/>
      <c r="F137" s="190"/>
      <c r="G137" s="190"/>
      <c r="H137" s="190"/>
      <c r="I137" s="190"/>
      <c r="J137" s="190"/>
      <c r="K137" s="190"/>
      <c r="L137" s="190"/>
    </row>
    <row r="138" spans="1:12">
      <c r="A138" s="664"/>
      <c r="B138" s="683"/>
      <c r="C138" s="198" t="s">
        <v>1699</v>
      </c>
      <c r="D138" s="214">
        <v>5.629E-2</v>
      </c>
      <c r="E138" s="215"/>
      <c r="F138" s="190"/>
      <c r="G138" s="190"/>
      <c r="H138" s="190"/>
      <c r="I138" s="190"/>
      <c r="J138" s="190"/>
      <c r="K138" s="190"/>
      <c r="L138" s="190"/>
    </row>
    <row r="139" spans="1:12">
      <c r="A139" s="664"/>
      <c r="B139" s="683" t="s">
        <v>1727</v>
      </c>
      <c r="C139" s="198" t="s">
        <v>1635</v>
      </c>
      <c r="D139" s="214">
        <v>497.73658</v>
      </c>
      <c r="E139" s="215"/>
      <c r="F139" s="190"/>
      <c r="G139" s="190"/>
      <c r="H139" s="190"/>
      <c r="I139" s="190"/>
      <c r="J139" s="190"/>
      <c r="K139" s="190"/>
      <c r="L139" s="190"/>
    </row>
    <row r="140" spans="1:12">
      <c r="A140" s="664"/>
      <c r="B140" s="683"/>
      <c r="C140" s="198" t="s">
        <v>1698</v>
      </c>
      <c r="D140" s="214">
        <v>5.9249999999999997E-2</v>
      </c>
      <c r="E140" s="215"/>
      <c r="F140" s="190"/>
      <c r="G140" s="190"/>
      <c r="H140" s="190"/>
      <c r="I140" s="190"/>
      <c r="J140" s="190"/>
      <c r="K140" s="190"/>
      <c r="L140" s="190"/>
    </row>
    <row r="141" spans="1:12">
      <c r="A141" s="664"/>
      <c r="B141" s="683"/>
      <c r="C141" s="198" t="s">
        <v>1699</v>
      </c>
      <c r="D141" s="214">
        <v>5.629E-2</v>
      </c>
      <c r="E141" s="215"/>
      <c r="F141" s="190"/>
      <c r="G141" s="190"/>
      <c r="H141" s="190"/>
      <c r="I141" s="190"/>
      <c r="J141" s="190"/>
      <c r="K141" s="190"/>
      <c r="L141" s="190"/>
    </row>
    <row r="142" spans="1:12">
      <c r="A142" s="664"/>
      <c r="B142" s="683" t="s">
        <v>1728</v>
      </c>
      <c r="C142" s="198" t="s">
        <v>1635</v>
      </c>
      <c r="D142" s="214">
        <v>402.62468000000001</v>
      </c>
      <c r="E142" s="215"/>
      <c r="F142" s="190"/>
      <c r="G142" s="190"/>
      <c r="H142" s="190"/>
      <c r="I142" s="190"/>
      <c r="J142" s="190"/>
      <c r="K142" s="190"/>
      <c r="L142" s="190"/>
    </row>
    <row r="143" spans="1:12">
      <c r="A143" s="664"/>
      <c r="B143" s="683"/>
      <c r="C143" s="198" t="s">
        <v>1698</v>
      </c>
      <c r="D143" s="214">
        <v>4.267E-2</v>
      </c>
      <c r="E143" s="215"/>
      <c r="F143" s="190"/>
      <c r="G143" s="190"/>
      <c r="H143" s="190"/>
      <c r="I143" s="190"/>
      <c r="J143" s="190"/>
      <c r="K143" s="190"/>
      <c r="L143" s="190"/>
    </row>
    <row r="144" spans="1:12">
      <c r="A144" s="664"/>
      <c r="B144" s="683"/>
      <c r="C144" s="198" t="s">
        <v>1699</v>
      </c>
      <c r="D144" s="214">
        <v>4.0529999999999997E-2</v>
      </c>
      <c r="E144" s="215"/>
      <c r="F144" s="190"/>
      <c r="G144" s="190"/>
      <c r="H144" s="190"/>
      <c r="I144" s="190"/>
      <c r="J144" s="190"/>
      <c r="K144" s="190"/>
      <c r="L144" s="190"/>
    </row>
    <row r="145" spans="1:12">
      <c r="A145" s="664"/>
      <c r="B145" s="683" t="s">
        <v>1729</v>
      </c>
      <c r="C145" s="198" t="s">
        <v>1635</v>
      </c>
      <c r="D145" s="214">
        <v>389.45704000000001</v>
      </c>
      <c r="E145" s="215"/>
      <c r="F145" s="190"/>
      <c r="G145" s="190"/>
      <c r="H145" s="190"/>
      <c r="I145" s="190"/>
      <c r="J145" s="190"/>
      <c r="K145" s="190"/>
      <c r="L145" s="190"/>
    </row>
    <row r="146" spans="1:12">
      <c r="A146" s="664"/>
      <c r="B146" s="683"/>
      <c r="C146" s="198" t="s">
        <v>1698</v>
      </c>
      <c r="D146" s="214">
        <v>5.9249999999999997E-2</v>
      </c>
      <c r="E146" s="215"/>
      <c r="F146" s="190"/>
      <c r="G146" s="190"/>
      <c r="H146" s="190"/>
      <c r="I146" s="190"/>
      <c r="J146" s="190"/>
      <c r="K146" s="190"/>
      <c r="L146" s="190"/>
    </row>
    <row r="147" spans="1:12">
      <c r="A147" s="664"/>
      <c r="B147" s="683"/>
      <c r="C147" s="198" t="s">
        <v>1699</v>
      </c>
      <c r="D147" s="214">
        <v>5.629E-2</v>
      </c>
      <c r="E147" s="215"/>
      <c r="F147" s="190"/>
      <c r="G147" s="190"/>
      <c r="H147" s="190"/>
      <c r="I147" s="190"/>
      <c r="J147" s="190"/>
      <c r="K147" s="190"/>
      <c r="L147" s="190"/>
    </row>
    <row r="148" spans="1:12">
      <c r="A148" s="190"/>
      <c r="B148" s="190"/>
      <c r="C148" s="190"/>
      <c r="D148" s="190"/>
      <c r="E148" s="190"/>
      <c r="F148" s="190"/>
      <c r="G148" s="190"/>
      <c r="H148" s="190"/>
      <c r="I148" s="190"/>
      <c r="J148" s="190"/>
      <c r="K148" s="190"/>
      <c r="L148" s="190"/>
    </row>
    <row r="149" spans="1:12" s="167" customFormat="1">
      <c r="A149" s="190"/>
      <c r="B149" s="190"/>
      <c r="C149" s="190"/>
      <c r="D149" s="190"/>
      <c r="E149" s="190"/>
      <c r="F149" s="190"/>
      <c r="G149" s="190"/>
      <c r="H149" s="190"/>
      <c r="I149" s="190"/>
      <c r="J149" s="190"/>
      <c r="K149" s="190"/>
      <c r="L149" s="190"/>
    </row>
    <row r="150" spans="1:12" s="167" customFormat="1" ht="15.6">
      <c r="A150" s="669" t="s">
        <v>1682</v>
      </c>
      <c r="B150" s="669"/>
      <c r="C150" s="669"/>
      <c r="D150" s="669"/>
      <c r="E150" s="669"/>
      <c r="F150" s="669"/>
      <c r="G150" s="669"/>
      <c r="H150" s="669"/>
      <c r="I150" s="669"/>
      <c r="J150" s="669"/>
      <c r="K150" s="669"/>
      <c r="L150" s="669"/>
    </row>
    <row r="151" spans="1:12" s="167" customFormat="1">
      <c r="A151" s="673" t="s">
        <v>1730</v>
      </c>
      <c r="B151" s="673"/>
      <c r="C151" s="673"/>
      <c r="D151" s="673"/>
      <c r="E151" s="673"/>
      <c r="F151" s="673"/>
      <c r="G151" s="673"/>
      <c r="H151" s="673"/>
      <c r="I151" s="673"/>
      <c r="J151" s="673"/>
      <c r="K151" s="673"/>
      <c r="L151" s="673"/>
    </row>
    <row r="152" spans="1:12" s="204" customFormat="1" ht="30.6" customHeight="1">
      <c r="A152" s="684" t="s">
        <v>1731</v>
      </c>
      <c r="B152" s="685"/>
      <c r="C152" s="685"/>
      <c r="D152" s="685"/>
      <c r="E152" s="685"/>
      <c r="F152" s="685"/>
      <c r="G152" s="685"/>
      <c r="H152" s="685"/>
      <c r="I152" s="685"/>
      <c r="J152" s="685"/>
      <c r="K152" s="685"/>
      <c r="L152" s="190"/>
    </row>
    <row r="153" spans="1:12" s="167" customFormat="1">
      <c r="A153" s="219" t="s">
        <v>1685</v>
      </c>
      <c r="B153" s="219"/>
      <c r="C153" s="219"/>
      <c r="D153" s="219"/>
      <c r="E153" s="219"/>
      <c r="F153" s="219"/>
      <c r="G153" s="219"/>
      <c r="H153" s="219"/>
      <c r="I153" s="219"/>
      <c r="J153" s="219"/>
      <c r="K153" s="219"/>
      <c r="L153" s="219"/>
    </row>
    <row r="154" spans="1:12" s="167" customFormat="1">
      <c r="A154" s="668"/>
      <c r="B154" s="668"/>
      <c r="C154" s="668"/>
      <c r="D154" s="668"/>
      <c r="E154" s="668"/>
      <c r="F154" s="668"/>
      <c r="G154" s="668"/>
      <c r="H154" s="668"/>
      <c r="I154" s="668"/>
      <c r="J154" s="668"/>
      <c r="K154" s="668"/>
      <c r="L154" s="668"/>
    </row>
    <row r="155" spans="1:12" s="167" customFormat="1">
      <c r="A155" s="668"/>
      <c r="B155" s="668"/>
      <c r="C155" s="668"/>
      <c r="D155" s="668"/>
      <c r="E155" s="668"/>
      <c r="F155" s="668"/>
      <c r="G155" s="668"/>
      <c r="H155" s="668"/>
      <c r="I155" s="668"/>
      <c r="J155" s="668"/>
      <c r="K155" s="668"/>
      <c r="L155" s="668"/>
    </row>
    <row r="156" spans="1:12" s="167" customFormat="1">
      <c r="B156" s="188"/>
    </row>
    <row r="157" spans="1:12" s="167" customFormat="1">
      <c r="B157" s="188"/>
    </row>
    <row r="158" spans="1:12" s="167" customFormat="1">
      <c r="B158" s="188"/>
    </row>
    <row r="159" spans="1:12" s="167" customFormat="1">
      <c r="B159" s="188"/>
    </row>
    <row r="160" spans="1:12" s="167" customFormat="1">
      <c r="B160" s="188"/>
    </row>
    <row r="161" spans="2:2" s="167" customFormat="1">
      <c r="B161" s="188"/>
    </row>
    <row r="162" spans="2:2" s="167" customFormat="1">
      <c r="B162" s="188"/>
    </row>
    <row r="163" spans="2:2" s="167" customFormat="1">
      <c r="B163" s="188"/>
    </row>
    <row r="164" spans="2:2" s="167" customFormat="1">
      <c r="B164" s="188"/>
    </row>
    <row r="165" spans="2:2" s="167" customFormat="1">
      <c r="B165" s="188"/>
    </row>
    <row r="166" spans="2:2" s="167" customFormat="1">
      <c r="B166" s="188"/>
    </row>
    <row r="167" spans="2:2" s="167" customFormat="1">
      <c r="B167" s="188"/>
    </row>
    <row r="168" spans="2:2" s="167" customFormat="1">
      <c r="B168" s="188"/>
    </row>
    <row r="169" spans="2:2" s="167" customFormat="1">
      <c r="B169" s="188"/>
    </row>
    <row r="170" spans="2:2" s="167" customFormat="1">
      <c r="B170" s="188"/>
    </row>
    <row r="171" spans="2:2" s="167" customFormat="1">
      <c r="B171" s="188"/>
    </row>
    <row r="172" spans="2:2" s="167" customFormat="1">
      <c r="B172" s="188"/>
    </row>
    <row r="173" spans="2:2" s="167" customFormat="1">
      <c r="B173" s="188"/>
    </row>
    <row r="174" spans="2:2" s="167" customFormat="1">
      <c r="B174" s="188"/>
    </row>
    <row r="175" spans="2:2" s="167" customFormat="1">
      <c r="B175" s="188"/>
    </row>
    <row r="176" spans="2:2" s="167" customFormat="1">
      <c r="B176" s="188"/>
    </row>
    <row r="177" spans="2:2" s="167" customFormat="1">
      <c r="B177" s="188"/>
    </row>
    <row r="178" spans="2:2" s="167" customFormat="1">
      <c r="B178" s="188"/>
    </row>
    <row r="179" spans="2:2" s="167" customFormat="1">
      <c r="B179" s="188"/>
    </row>
    <row r="180" spans="2:2" s="167" customFormat="1">
      <c r="B180" s="188"/>
    </row>
    <row r="181" spans="2:2" s="167" customFormat="1">
      <c r="B181" s="188"/>
    </row>
    <row r="182" spans="2:2" s="167" customFormat="1">
      <c r="B182" s="188"/>
    </row>
    <row r="183" spans="2:2" s="167" customFormat="1">
      <c r="B183" s="188"/>
    </row>
    <row r="184" spans="2:2" s="167" customFormat="1">
      <c r="B184" s="188"/>
    </row>
    <row r="185" spans="2:2" s="167" customFormat="1">
      <c r="B185" s="188"/>
    </row>
    <row r="186" spans="2:2" s="167" customFormat="1">
      <c r="B186" s="188"/>
    </row>
    <row r="187" spans="2:2" s="167" customFormat="1">
      <c r="B187" s="188"/>
    </row>
    <row r="188" spans="2:2" s="167" customFormat="1">
      <c r="B188" s="188"/>
    </row>
    <row r="189" spans="2:2" s="167" customFormat="1">
      <c r="B189" s="188"/>
    </row>
    <row r="190" spans="2:2" s="167" customFormat="1">
      <c r="B190" s="188"/>
    </row>
    <row r="191" spans="2:2" s="167" customFormat="1">
      <c r="B191" s="188"/>
    </row>
    <row r="192" spans="2:2" s="167" customFormat="1">
      <c r="B192" s="188"/>
    </row>
    <row r="193" spans="2:2" s="167" customFormat="1">
      <c r="B193" s="188"/>
    </row>
    <row r="194" spans="2:2" s="167" customFormat="1">
      <c r="B194" s="188"/>
    </row>
    <row r="195" spans="2:2" s="167" customFormat="1">
      <c r="B195" s="188"/>
    </row>
    <row r="196" spans="2:2" s="167" customFormat="1">
      <c r="B196" s="188"/>
    </row>
    <row r="197" spans="2:2" s="167" customFormat="1">
      <c r="B197" s="188"/>
    </row>
    <row r="198" spans="2:2" s="167" customFormat="1">
      <c r="B198" s="188"/>
    </row>
    <row r="199" spans="2:2" s="167" customFormat="1">
      <c r="B199" s="188"/>
    </row>
    <row r="200" spans="2:2" s="167" customFormat="1">
      <c r="B200" s="188"/>
    </row>
    <row r="201" spans="2:2" s="167" customFormat="1">
      <c r="B201" s="188"/>
    </row>
    <row r="202" spans="2:2" s="167" customFormat="1">
      <c r="B202" s="188"/>
    </row>
    <row r="203" spans="2:2" s="167" customFormat="1">
      <c r="B203" s="188"/>
    </row>
    <row r="204" spans="2:2" s="167" customFormat="1">
      <c r="B204" s="188"/>
    </row>
    <row r="205" spans="2:2" s="167" customFormat="1">
      <c r="B205" s="188"/>
    </row>
    <row r="206" spans="2:2" s="167" customFormat="1">
      <c r="B206" s="188"/>
    </row>
    <row r="207" spans="2:2" s="167" customFormat="1">
      <c r="B207" s="188"/>
    </row>
    <row r="208" spans="2:2" s="167" customFormat="1">
      <c r="B208" s="188"/>
    </row>
    <row r="209" spans="2:2" s="167" customFormat="1">
      <c r="B209" s="188"/>
    </row>
    <row r="210" spans="2:2" s="167" customFormat="1">
      <c r="B210" s="188"/>
    </row>
    <row r="211" spans="2:2" s="167" customFormat="1">
      <c r="B211" s="188"/>
    </row>
  </sheetData>
  <sheetProtection algorithmName="SHA-512" hashValue="hnLCW5LFVllEWbiAIHgYI3fcOtnWfu0CAiXxXi4Rvh1xG8egCGoPvHLSQeWJlg6tOlHg2nY+Mbyrl2cYAqLEwQ==" saltValue="bLQ1hS3pQd3L91dYwjpibw==" spinCount="100000" sheet="1" objects="1" scenarios="1" autoFilter="0"/>
  <mergeCells count="51">
    <mergeCell ref="A150:L150"/>
    <mergeCell ref="A151:L151"/>
    <mergeCell ref="A152:K152"/>
    <mergeCell ref="A154:L154"/>
    <mergeCell ref="A155:L155"/>
    <mergeCell ref="B118:B121"/>
    <mergeCell ref="B122:B125"/>
    <mergeCell ref="A130:A147"/>
    <mergeCell ref="B130:B132"/>
    <mergeCell ref="B133:B135"/>
    <mergeCell ref="B136:B138"/>
    <mergeCell ref="B139:B141"/>
    <mergeCell ref="B142:B144"/>
    <mergeCell ref="B145:B147"/>
    <mergeCell ref="B114:B117"/>
    <mergeCell ref="A58:A125"/>
    <mergeCell ref="B58:B61"/>
    <mergeCell ref="B62:B65"/>
    <mergeCell ref="B66:B69"/>
    <mergeCell ref="B70:B73"/>
    <mergeCell ref="B74:B77"/>
    <mergeCell ref="B78:B81"/>
    <mergeCell ref="B82:B85"/>
    <mergeCell ref="B86:B89"/>
    <mergeCell ref="B90:B93"/>
    <mergeCell ref="B94:B97"/>
    <mergeCell ref="B98:B101"/>
    <mergeCell ref="B102:B105"/>
    <mergeCell ref="B106:B109"/>
    <mergeCell ref="B110:B113"/>
    <mergeCell ref="A22:A53"/>
    <mergeCell ref="B22:B25"/>
    <mergeCell ref="B26:B29"/>
    <mergeCell ref="B30:B33"/>
    <mergeCell ref="B34:B37"/>
    <mergeCell ref="B38:B41"/>
    <mergeCell ref="B42:B45"/>
    <mergeCell ref="B46:B49"/>
    <mergeCell ref="B50:B53"/>
    <mergeCell ref="N13:Y13"/>
    <mergeCell ref="A15:L15"/>
    <mergeCell ref="A16:L16"/>
    <mergeCell ref="A17:L17"/>
    <mergeCell ref="A18:L18"/>
    <mergeCell ref="A19:L19"/>
    <mergeCell ref="A8:L8"/>
    <mergeCell ref="A9:L9"/>
    <mergeCell ref="A10:L10"/>
    <mergeCell ref="A11:L11"/>
    <mergeCell ref="A12:L12"/>
    <mergeCell ref="A13:L13"/>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F00-000000000000}"/>
    <hyperlink ref="A3" location="Index!A1" display="Index" xr:uid="{00000000-0004-0000-1F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F00-000002000000}"/>
  </hyperlinks>
  <pageMargins left="0.7" right="0.7" top="0.75" bottom="0.75" header="0.3" footer="0.3"/>
  <pageSetup paperSize="9" scale="36" fitToHeight="0" orientation="landscape" r:id="rId2"/>
  <headerFooter alignWithMargins="0"/>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pageSetUpPr fitToPage="1"/>
  </sheetPr>
  <dimension ref="A1:AB278"/>
  <sheetViews>
    <sheetView workbookViewId="0"/>
  </sheetViews>
  <sheetFormatPr baseColWidth="10" defaultColWidth="11.33203125" defaultRowHeight="14.4"/>
  <cols>
    <col min="1" max="1" width="16.5546875" style="168" customWidth="1"/>
    <col min="2" max="2" width="17.5546875" style="168" customWidth="1"/>
    <col min="3" max="3" width="15.33203125" style="168" customWidth="1"/>
    <col min="4" max="4" width="14.44140625" style="168" customWidth="1"/>
    <col min="5" max="5" width="43.6640625" style="168" customWidth="1"/>
    <col min="6" max="6" width="17.5546875" style="168" customWidth="1"/>
    <col min="7" max="12" width="11.33203125" style="168"/>
    <col min="13" max="17" width="11.33203125" style="167"/>
    <col min="18" max="16384" width="11.33203125" style="168"/>
  </cols>
  <sheetData>
    <row r="1" spans="1:28" s="164" customFormat="1" ht="10.199999999999999">
      <c r="A1" s="164" t="s">
        <v>1606</v>
      </c>
    </row>
    <row r="2" spans="1:28" s="167" customFormat="1" ht="21">
      <c r="A2" s="165" t="s">
        <v>1732</v>
      </c>
      <c r="B2" s="165"/>
      <c r="C2" s="165"/>
      <c r="D2" s="165"/>
      <c r="E2" s="165"/>
      <c r="F2" s="165"/>
      <c r="R2" s="204"/>
      <c r="S2" s="204"/>
      <c r="T2" s="204"/>
      <c r="U2" s="204"/>
      <c r="V2" s="204"/>
      <c r="W2" s="204"/>
      <c r="X2" s="204"/>
      <c r="Y2" s="204"/>
      <c r="Z2" s="204"/>
      <c r="AA2" s="204"/>
      <c r="AB2" s="204"/>
    </row>
    <row r="3" spans="1:28" s="167" customFormat="1">
      <c r="A3" s="169" t="s">
        <v>1608</v>
      </c>
      <c r="R3" s="204"/>
      <c r="S3" s="204"/>
      <c r="T3" s="204"/>
      <c r="U3" s="204"/>
      <c r="V3" s="204"/>
      <c r="W3" s="204"/>
      <c r="X3" s="204"/>
      <c r="Y3" s="204"/>
      <c r="Z3" s="204"/>
      <c r="AA3" s="204"/>
      <c r="AB3" s="204"/>
    </row>
    <row r="4" spans="1:28" s="174" customFormat="1" ht="7.2" thickBot="1">
      <c r="R4" s="220"/>
      <c r="S4" s="220"/>
      <c r="T4" s="220"/>
      <c r="U4" s="220"/>
      <c r="V4" s="220"/>
      <c r="W4" s="220"/>
      <c r="X4" s="220"/>
      <c r="Y4" s="220"/>
      <c r="Z4" s="220"/>
      <c r="AA4" s="220"/>
      <c r="AB4" s="220"/>
    </row>
    <row r="5" spans="1:28" s="167" customFormat="1" ht="28.2" thickTop="1">
      <c r="A5" s="177" t="s">
        <v>1609</v>
      </c>
      <c r="B5" s="178" t="s">
        <v>1732</v>
      </c>
      <c r="C5" s="177" t="s">
        <v>1610</v>
      </c>
      <c r="D5" s="179">
        <v>45818</v>
      </c>
      <c r="E5" s="207" t="s">
        <v>1611</v>
      </c>
      <c r="F5" s="179" t="s">
        <v>1612</v>
      </c>
      <c r="R5" s="204"/>
      <c r="S5" s="204"/>
      <c r="T5" s="204"/>
      <c r="U5" s="204"/>
      <c r="V5" s="204"/>
      <c r="W5" s="204"/>
      <c r="X5" s="204"/>
      <c r="Y5" s="204"/>
      <c r="Z5" s="204"/>
      <c r="AA5" s="204"/>
      <c r="AB5" s="204"/>
    </row>
    <row r="6" spans="1:28" s="167" customFormat="1" ht="15" thickBot="1">
      <c r="A6" s="182" t="s">
        <v>1613</v>
      </c>
      <c r="B6" s="183" t="s">
        <v>1614</v>
      </c>
      <c r="C6" s="184" t="s">
        <v>1615</v>
      </c>
      <c r="D6" s="208">
        <v>1.1000000000000001</v>
      </c>
      <c r="E6" s="184" t="s">
        <v>1616</v>
      </c>
      <c r="F6" s="209">
        <v>2024</v>
      </c>
      <c r="R6" s="204"/>
      <c r="S6" s="204"/>
      <c r="T6" s="204"/>
      <c r="U6" s="204"/>
      <c r="V6" s="204"/>
      <c r="W6" s="204"/>
      <c r="X6" s="204"/>
      <c r="Y6" s="204"/>
      <c r="Z6" s="204"/>
      <c r="AA6" s="204"/>
      <c r="AB6" s="204"/>
    </row>
    <row r="7" spans="1:28" s="167" customFormat="1" ht="15.6" thickTop="1" thickBot="1">
      <c r="R7" s="204"/>
      <c r="S7" s="204"/>
      <c r="T7" s="204"/>
      <c r="U7" s="204"/>
      <c r="V7" s="204"/>
      <c r="W7" s="204"/>
      <c r="X7" s="204"/>
      <c r="Y7" s="204"/>
      <c r="Z7" s="204"/>
      <c r="AA7" s="204"/>
      <c r="AB7" s="204"/>
    </row>
    <row r="8" spans="1:28" s="167" customFormat="1" ht="27.6" customHeight="1" thickTop="1" thickBot="1">
      <c r="A8" s="674" t="s">
        <v>1733</v>
      </c>
      <c r="B8" s="675"/>
      <c r="C8" s="675"/>
      <c r="D8" s="675"/>
      <c r="E8" s="675"/>
      <c r="F8" s="675"/>
      <c r="G8" s="675"/>
      <c r="H8" s="675"/>
      <c r="I8" s="675"/>
      <c r="J8" s="675"/>
      <c r="K8" s="675"/>
      <c r="L8" s="676"/>
      <c r="R8" s="204"/>
      <c r="S8" s="204"/>
      <c r="T8" s="204"/>
      <c r="U8" s="204"/>
      <c r="V8" s="204"/>
      <c r="W8" s="204"/>
      <c r="X8" s="204"/>
      <c r="Y8" s="204"/>
      <c r="Z8" s="204"/>
      <c r="AA8" s="204"/>
      <c r="AB8" s="204"/>
    </row>
    <row r="9" spans="1:28" s="167" customFormat="1" ht="15" thickTop="1">
      <c r="A9" s="668"/>
      <c r="B9" s="668"/>
      <c r="C9" s="668"/>
      <c r="D9" s="668"/>
      <c r="E9" s="668"/>
      <c r="F9" s="668"/>
      <c r="G9" s="668"/>
      <c r="H9" s="668"/>
      <c r="I9" s="668"/>
      <c r="J9" s="668"/>
      <c r="K9" s="668"/>
      <c r="L9" s="668"/>
    </row>
    <row r="10" spans="1:28" s="167" customFormat="1" ht="15" customHeight="1">
      <c r="A10" s="669" t="s">
        <v>1618</v>
      </c>
      <c r="B10" s="669"/>
      <c r="C10" s="669"/>
      <c r="D10" s="669"/>
      <c r="E10" s="669"/>
      <c r="F10" s="669"/>
      <c r="G10" s="669"/>
      <c r="H10" s="669"/>
      <c r="I10" s="669"/>
      <c r="J10" s="669"/>
      <c r="K10" s="669"/>
      <c r="L10" s="669"/>
    </row>
    <row r="11" spans="1:28" s="167" customFormat="1">
      <c r="A11" s="686" t="s">
        <v>1734</v>
      </c>
      <c r="B11" s="686"/>
      <c r="C11" s="686"/>
      <c r="D11" s="686"/>
      <c r="E11" s="686"/>
      <c r="F11" s="686"/>
      <c r="G11" s="686"/>
      <c r="H11" s="686"/>
      <c r="I11" s="686"/>
      <c r="J11" s="686"/>
      <c r="K11" s="686"/>
      <c r="L11" s="686"/>
    </row>
    <row r="12" spans="1:28" s="167" customFormat="1">
      <c r="B12" s="221" t="s">
        <v>1735</v>
      </c>
      <c r="C12" s="190"/>
      <c r="D12" s="190"/>
      <c r="E12" s="190"/>
      <c r="F12" s="190"/>
      <c r="G12" s="190"/>
      <c r="H12" s="190"/>
      <c r="I12" s="190"/>
      <c r="J12" s="190"/>
      <c r="K12" s="190"/>
      <c r="L12" s="190"/>
    </row>
    <row r="13" spans="1:28" s="167" customFormat="1" ht="25.35" customHeight="1">
      <c r="A13" s="222"/>
      <c r="B13" s="687" t="s">
        <v>1736</v>
      </c>
      <c r="C13" s="687"/>
      <c r="D13" s="222"/>
      <c r="E13" s="222"/>
      <c r="F13" s="222"/>
      <c r="G13" s="222"/>
      <c r="H13" s="222"/>
      <c r="I13" s="222"/>
      <c r="J13" s="223"/>
      <c r="K13" s="222"/>
      <c r="L13" s="222"/>
    </row>
    <row r="14" spans="1:28" s="167" customFormat="1" ht="15.6">
      <c r="A14" s="669" t="s">
        <v>1737</v>
      </c>
      <c r="B14" s="669"/>
      <c r="C14" s="669"/>
      <c r="D14" s="669"/>
      <c r="E14" s="669"/>
      <c r="F14" s="669"/>
      <c r="G14" s="669"/>
      <c r="H14" s="669"/>
      <c r="I14" s="669"/>
      <c r="J14" s="669"/>
      <c r="K14" s="669"/>
      <c r="L14" s="669"/>
    </row>
    <row r="15" spans="1:28" s="167" customFormat="1">
      <c r="A15" s="668" t="s">
        <v>1738</v>
      </c>
      <c r="B15" s="668"/>
      <c r="C15" s="668"/>
      <c r="D15" s="668"/>
      <c r="E15" s="668"/>
      <c r="F15" s="668"/>
      <c r="G15" s="668"/>
      <c r="H15" s="668"/>
      <c r="I15" s="668"/>
      <c r="J15" s="668"/>
      <c r="K15" s="668"/>
      <c r="L15" s="668"/>
    </row>
    <row r="16" spans="1:28" s="167" customFormat="1">
      <c r="A16" s="668" t="s">
        <v>1739</v>
      </c>
      <c r="B16" s="668"/>
      <c r="C16" s="668"/>
      <c r="D16" s="668"/>
      <c r="E16" s="668"/>
      <c r="F16" s="668"/>
      <c r="G16" s="668"/>
      <c r="H16" s="668"/>
      <c r="I16" s="668"/>
      <c r="J16" s="668"/>
      <c r="K16" s="668"/>
      <c r="L16" s="668"/>
    </row>
    <row r="17" spans="1:12" s="167" customFormat="1" ht="26.25" customHeight="1">
      <c r="A17" s="224"/>
      <c r="B17" s="224"/>
      <c r="C17" s="224"/>
      <c r="D17" s="224"/>
      <c r="E17" s="224"/>
      <c r="F17" s="224"/>
      <c r="G17" s="224"/>
      <c r="H17" s="224"/>
      <c r="I17" s="224"/>
      <c r="J17" s="224"/>
      <c r="K17" s="224"/>
      <c r="L17" s="224"/>
    </row>
    <row r="18" spans="1:12" s="167" customFormat="1" ht="15.6">
      <c r="A18" s="196" t="s">
        <v>1629</v>
      </c>
      <c r="B18" s="196" t="s">
        <v>625</v>
      </c>
      <c r="C18" s="196" t="s">
        <v>1631</v>
      </c>
      <c r="D18" s="198" t="s">
        <v>1632</v>
      </c>
      <c r="E18" s="224"/>
      <c r="F18" s="224"/>
      <c r="G18" s="224"/>
      <c r="H18" s="224"/>
      <c r="I18" s="224"/>
      <c r="J18" s="224"/>
      <c r="K18" s="224"/>
      <c r="L18" s="224"/>
    </row>
    <row r="19" spans="1:12" s="167" customFormat="1">
      <c r="A19" s="691" t="s">
        <v>1740</v>
      </c>
      <c r="B19" s="694" t="s">
        <v>1741</v>
      </c>
      <c r="C19" s="198" t="s">
        <v>1697</v>
      </c>
      <c r="D19" s="225">
        <v>0.51905999999999997</v>
      </c>
      <c r="E19" s="215"/>
      <c r="F19" s="224"/>
      <c r="G19" s="224"/>
      <c r="H19" s="224"/>
      <c r="I19" s="224"/>
      <c r="J19" s="224"/>
      <c r="K19" s="224"/>
      <c r="L19" s="224"/>
    </row>
    <row r="20" spans="1:12" s="167" customFormat="1">
      <c r="A20" s="692"/>
      <c r="B20" s="695"/>
      <c r="C20" s="198" t="s">
        <v>1742</v>
      </c>
      <c r="D20" s="225">
        <v>24.393000000000001</v>
      </c>
      <c r="E20" s="215"/>
      <c r="F20" s="224"/>
      <c r="G20" s="224"/>
      <c r="H20" s="224"/>
      <c r="I20" s="224"/>
      <c r="J20" s="224"/>
      <c r="K20" s="224"/>
      <c r="L20" s="224"/>
    </row>
    <row r="21" spans="1:12" s="167" customFormat="1">
      <c r="A21" s="692"/>
      <c r="B21" s="696"/>
      <c r="C21" s="198" t="s">
        <v>1743</v>
      </c>
      <c r="D21" s="225">
        <v>0.65373000000000003</v>
      </c>
      <c r="E21" s="215"/>
      <c r="F21" s="224"/>
      <c r="G21" s="224"/>
      <c r="H21" s="224"/>
      <c r="I21" s="224"/>
      <c r="J21" s="224"/>
      <c r="K21" s="224"/>
      <c r="L21" s="224"/>
    </row>
    <row r="22" spans="1:12" s="167" customFormat="1">
      <c r="A22" s="692"/>
      <c r="B22" s="694" t="s">
        <v>1744</v>
      </c>
      <c r="C22" s="198" t="s">
        <v>1697</v>
      </c>
      <c r="D22" s="225">
        <v>0.48103000000000001</v>
      </c>
      <c r="E22" s="215"/>
      <c r="F22" s="224"/>
      <c r="G22" s="224"/>
      <c r="H22" s="224"/>
      <c r="I22" s="224"/>
      <c r="J22" s="224"/>
      <c r="K22" s="224"/>
      <c r="L22" s="224"/>
    </row>
    <row r="23" spans="1:12" s="167" customFormat="1">
      <c r="A23" s="692"/>
      <c r="B23" s="695"/>
      <c r="C23" s="198" t="s">
        <v>1742</v>
      </c>
      <c r="D23" s="225">
        <v>14.529</v>
      </c>
      <c r="E23" s="215"/>
      <c r="F23" s="224"/>
      <c r="G23" s="224"/>
      <c r="H23" s="224"/>
      <c r="I23" s="224"/>
      <c r="J23" s="224"/>
      <c r="K23" s="224"/>
      <c r="L23" s="224"/>
    </row>
    <row r="24" spans="1:12" s="167" customFormat="1">
      <c r="A24" s="692"/>
      <c r="B24" s="696"/>
      <c r="C24" s="198" t="s">
        <v>1743</v>
      </c>
      <c r="D24" s="225">
        <v>0.54047999999999996</v>
      </c>
      <c r="E24" s="215"/>
      <c r="F24" s="224"/>
      <c r="G24" s="224"/>
      <c r="H24" s="224"/>
      <c r="I24" s="224"/>
      <c r="J24" s="224"/>
      <c r="K24" s="224"/>
      <c r="L24" s="224"/>
    </row>
    <row r="25" spans="1:12" s="167" customFormat="1" ht="14.7" customHeight="1">
      <c r="A25" s="692"/>
      <c r="B25" s="694" t="s">
        <v>1745</v>
      </c>
      <c r="C25" s="198" t="s">
        <v>1697</v>
      </c>
      <c r="D25" s="226"/>
      <c r="E25" s="215"/>
      <c r="F25" s="224"/>
      <c r="G25" s="224"/>
      <c r="H25" s="224"/>
      <c r="I25" s="224"/>
      <c r="J25" s="224"/>
      <c r="K25" s="224"/>
      <c r="L25" s="224"/>
    </row>
    <row r="26" spans="1:12" s="167" customFormat="1">
      <c r="A26" s="692"/>
      <c r="B26" s="695"/>
      <c r="C26" s="198" t="s">
        <v>1742</v>
      </c>
      <c r="D26" s="225">
        <v>13.061999999999999</v>
      </c>
      <c r="E26" s="215"/>
      <c r="F26" s="224"/>
      <c r="G26" s="224"/>
      <c r="H26" s="224"/>
      <c r="I26" s="224"/>
      <c r="J26" s="224"/>
      <c r="K26" s="224"/>
      <c r="L26" s="224"/>
    </row>
    <row r="27" spans="1:12" s="167" customFormat="1">
      <c r="A27" s="692"/>
      <c r="B27" s="696"/>
      <c r="C27" s="198" t="s">
        <v>1743</v>
      </c>
      <c r="D27" s="225">
        <v>0.64004000000000005</v>
      </c>
      <c r="E27" s="215"/>
      <c r="F27" s="224"/>
      <c r="G27" s="224"/>
      <c r="H27" s="224"/>
      <c r="I27" s="224"/>
      <c r="J27" s="224"/>
      <c r="K27" s="224"/>
      <c r="L27" s="224"/>
    </row>
    <row r="28" spans="1:12" s="167" customFormat="1" ht="14.7" customHeight="1">
      <c r="A28" s="692"/>
      <c r="B28" s="694" t="s">
        <v>1746</v>
      </c>
      <c r="C28" s="198" t="s">
        <v>1697</v>
      </c>
      <c r="D28" s="225">
        <v>0.38696000000000003</v>
      </c>
      <c r="E28" s="215"/>
      <c r="F28" s="224"/>
      <c r="G28" s="224"/>
      <c r="H28" s="224"/>
      <c r="I28" s="224"/>
      <c r="J28" s="224"/>
      <c r="K28" s="224"/>
      <c r="L28" s="224"/>
    </row>
    <row r="29" spans="1:12" s="167" customFormat="1">
      <c r="A29" s="692"/>
      <c r="B29" s="695"/>
      <c r="C29" s="198" t="s">
        <v>1742</v>
      </c>
      <c r="D29" s="225">
        <v>11.68769</v>
      </c>
      <c r="E29" s="215"/>
      <c r="F29" s="224"/>
      <c r="G29" s="224"/>
      <c r="H29" s="224"/>
      <c r="I29" s="224"/>
      <c r="J29" s="224"/>
      <c r="K29" s="224"/>
      <c r="L29" s="224"/>
    </row>
    <row r="30" spans="1:12" s="167" customFormat="1">
      <c r="A30" s="692"/>
      <c r="B30" s="696"/>
      <c r="C30" s="198" t="s">
        <v>1743</v>
      </c>
      <c r="D30" s="225">
        <v>0.43478</v>
      </c>
      <c r="E30" s="215"/>
      <c r="F30" s="224"/>
      <c r="G30" s="224"/>
      <c r="H30" s="224"/>
      <c r="I30" s="224"/>
      <c r="J30" s="224"/>
      <c r="K30" s="224"/>
      <c r="L30" s="224"/>
    </row>
    <row r="31" spans="1:12" s="167" customFormat="1" ht="14.7" customHeight="1">
      <c r="A31" s="692"/>
      <c r="B31" s="694" t="s">
        <v>1747</v>
      </c>
      <c r="C31" s="198" t="s">
        <v>1697</v>
      </c>
      <c r="D31" s="225">
        <v>0.65671999999999997</v>
      </c>
      <c r="E31" s="215"/>
      <c r="F31" s="224"/>
      <c r="G31" s="224"/>
      <c r="H31" s="224"/>
      <c r="I31" s="224"/>
      <c r="J31" s="224"/>
      <c r="K31" s="224"/>
      <c r="L31" s="224"/>
    </row>
    <row r="32" spans="1:12" s="167" customFormat="1">
      <c r="A32" s="692"/>
      <c r="B32" s="695"/>
      <c r="C32" s="198" t="s">
        <v>1742</v>
      </c>
      <c r="D32" s="225">
        <v>19.835809999999999</v>
      </c>
      <c r="E32" s="215"/>
      <c r="F32" s="224"/>
      <c r="G32" s="224"/>
      <c r="H32" s="224"/>
      <c r="I32" s="224"/>
      <c r="J32" s="224"/>
      <c r="K32" s="224"/>
      <c r="L32" s="224"/>
    </row>
    <row r="33" spans="1:12" s="167" customFormat="1">
      <c r="A33" s="692"/>
      <c r="B33" s="696"/>
      <c r="C33" s="198" t="s">
        <v>1743</v>
      </c>
      <c r="D33" s="225">
        <v>0.73789000000000005</v>
      </c>
      <c r="E33" s="215"/>
      <c r="F33" s="224"/>
      <c r="G33" s="224"/>
      <c r="H33" s="224"/>
      <c r="I33" s="224"/>
      <c r="J33" s="224"/>
      <c r="K33" s="224"/>
      <c r="L33" s="224"/>
    </row>
    <row r="34" spans="1:12" s="167" customFormat="1">
      <c r="A34" s="692"/>
      <c r="B34" s="694" t="s">
        <v>1748</v>
      </c>
      <c r="C34" s="198" t="s">
        <v>1697</v>
      </c>
      <c r="D34" s="225">
        <v>0.55900000000000005</v>
      </c>
      <c r="E34" s="215"/>
      <c r="F34" s="224"/>
      <c r="G34" s="224"/>
      <c r="H34" s="224"/>
      <c r="I34" s="224"/>
      <c r="J34" s="224"/>
      <c r="K34" s="224"/>
      <c r="L34" s="224"/>
    </row>
    <row r="35" spans="1:12" s="167" customFormat="1">
      <c r="A35" s="692"/>
      <c r="B35" s="695"/>
      <c r="C35" s="198" t="s">
        <v>1742</v>
      </c>
      <c r="D35" s="225">
        <v>16.288</v>
      </c>
      <c r="E35" s="215"/>
      <c r="F35" s="224"/>
      <c r="G35" s="224"/>
      <c r="H35" s="224"/>
      <c r="I35" s="224"/>
      <c r="J35" s="224"/>
      <c r="K35" s="224"/>
      <c r="L35" s="224"/>
    </row>
    <row r="36" spans="1:12" s="167" customFormat="1">
      <c r="A36" s="692"/>
      <c r="B36" s="696"/>
      <c r="C36" s="198" t="s">
        <v>1743</v>
      </c>
      <c r="D36" s="225">
        <v>0.71667000000000003</v>
      </c>
      <c r="E36" s="215"/>
      <c r="F36" s="224"/>
      <c r="G36" s="224"/>
      <c r="H36" s="224"/>
      <c r="I36" s="224"/>
      <c r="J36" s="224"/>
      <c r="K36" s="224"/>
      <c r="L36" s="224"/>
    </row>
    <row r="37" spans="1:12" s="167" customFormat="1">
      <c r="A37" s="692"/>
      <c r="B37" s="694" t="s">
        <v>1749</v>
      </c>
      <c r="C37" s="198" t="s">
        <v>1697</v>
      </c>
      <c r="D37" s="225">
        <v>0.21647</v>
      </c>
      <c r="E37" s="215"/>
      <c r="F37" s="224"/>
      <c r="G37" s="224"/>
      <c r="H37" s="224"/>
      <c r="I37" s="224"/>
      <c r="J37" s="224"/>
      <c r="K37" s="224"/>
      <c r="L37" s="224"/>
    </row>
    <row r="38" spans="1:12" s="167" customFormat="1">
      <c r="A38" s="692"/>
      <c r="B38" s="695"/>
      <c r="C38" s="198" t="s">
        <v>1742</v>
      </c>
      <c r="D38" s="225">
        <v>9.06</v>
      </c>
      <c r="E38" s="215"/>
      <c r="F38" s="224"/>
      <c r="G38" s="224"/>
      <c r="H38" s="224"/>
      <c r="I38" s="224"/>
      <c r="J38" s="224"/>
      <c r="K38" s="224"/>
      <c r="L38" s="224"/>
    </row>
    <row r="39" spans="1:12" s="167" customFormat="1">
      <c r="A39" s="692"/>
      <c r="B39" s="696"/>
      <c r="C39" s="198" t="s">
        <v>1743</v>
      </c>
      <c r="D39" s="225">
        <v>0.42037999999999998</v>
      </c>
      <c r="E39" s="215"/>
      <c r="F39" s="224"/>
      <c r="G39" s="224"/>
      <c r="H39" s="224"/>
      <c r="I39" s="224"/>
      <c r="J39" s="224"/>
      <c r="K39" s="224"/>
      <c r="L39" s="224"/>
    </row>
    <row r="40" spans="1:12" s="167" customFormat="1" ht="14.7" customHeight="1">
      <c r="A40" s="692"/>
      <c r="B40" s="694" t="s">
        <v>1750</v>
      </c>
      <c r="C40" s="198" t="s">
        <v>1697</v>
      </c>
      <c r="D40" s="225">
        <v>0.85731000000000002</v>
      </c>
      <c r="E40" s="215"/>
      <c r="F40" s="224"/>
      <c r="G40" s="224"/>
      <c r="H40" s="224"/>
      <c r="I40" s="224"/>
      <c r="J40" s="224"/>
      <c r="K40" s="224"/>
      <c r="L40" s="224"/>
    </row>
    <row r="41" spans="1:12" s="167" customFormat="1">
      <c r="A41" s="692"/>
      <c r="B41" s="695"/>
      <c r="C41" s="198" t="s">
        <v>1742</v>
      </c>
      <c r="D41" s="225">
        <v>23.989000000000001</v>
      </c>
      <c r="E41" s="215"/>
      <c r="F41" s="224"/>
      <c r="G41" s="224"/>
      <c r="H41" s="224"/>
      <c r="I41" s="224"/>
      <c r="J41" s="224"/>
      <c r="K41" s="224"/>
      <c r="L41" s="224"/>
    </row>
    <row r="42" spans="1:12" s="167" customFormat="1">
      <c r="A42" s="692"/>
      <c r="B42" s="696"/>
      <c r="C42" s="198" t="s">
        <v>1743</v>
      </c>
      <c r="D42" s="225">
        <v>1.0322</v>
      </c>
      <c r="E42" s="215"/>
      <c r="F42" s="224"/>
      <c r="G42" s="224"/>
      <c r="H42" s="224"/>
      <c r="I42" s="224"/>
      <c r="J42" s="224"/>
      <c r="K42" s="224"/>
      <c r="L42" s="224"/>
    </row>
    <row r="43" spans="1:12" s="167" customFormat="1" ht="14.7" customHeight="1">
      <c r="A43" s="692"/>
      <c r="B43" s="694" t="s">
        <v>1751</v>
      </c>
      <c r="C43" s="198" t="s">
        <v>1697</v>
      </c>
      <c r="D43" s="225">
        <v>0.79915999999999998</v>
      </c>
      <c r="E43" s="215"/>
      <c r="F43" s="224"/>
      <c r="G43" s="224"/>
      <c r="H43" s="224"/>
      <c r="I43" s="224"/>
      <c r="J43" s="224"/>
      <c r="K43" s="224"/>
      <c r="L43" s="224"/>
    </row>
    <row r="44" spans="1:12" s="167" customFormat="1">
      <c r="A44" s="692"/>
      <c r="B44" s="695"/>
      <c r="C44" s="198" t="s">
        <v>1742</v>
      </c>
      <c r="D44" s="225">
        <v>24.010999999999999</v>
      </c>
      <c r="E44" s="215"/>
      <c r="F44" s="224"/>
      <c r="G44" s="224"/>
      <c r="H44" s="224"/>
      <c r="I44" s="224"/>
      <c r="J44" s="224"/>
      <c r="K44" s="224"/>
      <c r="L44" s="224"/>
    </row>
    <row r="45" spans="1:12" s="167" customFormat="1">
      <c r="A45" s="692"/>
      <c r="B45" s="696"/>
      <c r="C45" s="198" t="s">
        <v>1743</v>
      </c>
      <c r="D45" s="225">
        <v>1.07087</v>
      </c>
      <c r="E45" s="215"/>
      <c r="F45" s="224"/>
      <c r="G45" s="224"/>
      <c r="H45" s="224"/>
      <c r="I45" s="224"/>
      <c r="J45" s="224"/>
      <c r="K45" s="224"/>
      <c r="L45" s="224"/>
    </row>
    <row r="46" spans="1:12" s="204" customFormat="1" ht="16.350000000000001" customHeight="1">
      <c r="A46" s="692"/>
      <c r="B46" s="694" t="s">
        <v>1752</v>
      </c>
      <c r="C46" s="198" t="s">
        <v>1697</v>
      </c>
      <c r="D46" s="227">
        <v>0.48103000000000001</v>
      </c>
      <c r="E46" s="215"/>
      <c r="F46" s="190"/>
      <c r="G46" s="190"/>
      <c r="H46" s="190"/>
      <c r="I46" s="190"/>
      <c r="J46" s="190"/>
      <c r="K46" s="190"/>
      <c r="L46" s="190"/>
    </row>
    <row r="47" spans="1:12" s="204" customFormat="1" ht="16.350000000000001" customHeight="1">
      <c r="A47" s="692"/>
      <c r="B47" s="695"/>
      <c r="C47" s="198" t="s">
        <v>1742</v>
      </c>
      <c r="D47" s="225">
        <v>14.529</v>
      </c>
      <c r="E47" s="215"/>
      <c r="F47" s="190"/>
      <c r="G47" s="190"/>
      <c r="H47" s="190"/>
      <c r="I47" s="190"/>
      <c r="J47" s="190"/>
      <c r="K47" s="190"/>
      <c r="L47" s="190"/>
    </row>
    <row r="48" spans="1:12" s="204" customFormat="1" ht="16.350000000000001" customHeight="1">
      <c r="A48" s="692"/>
      <c r="B48" s="696"/>
      <c r="C48" s="198" t="s">
        <v>1743</v>
      </c>
      <c r="D48" s="227">
        <v>0.54047999999999996</v>
      </c>
      <c r="E48" s="215"/>
      <c r="F48" s="190"/>
      <c r="G48" s="190"/>
      <c r="H48" s="190"/>
      <c r="I48" s="190"/>
      <c r="J48" s="190"/>
      <c r="K48" s="190"/>
      <c r="L48" s="190"/>
    </row>
    <row r="49" spans="1:12" s="204" customFormat="1" ht="16.350000000000001" customHeight="1">
      <c r="A49" s="692"/>
      <c r="B49" s="694" t="s">
        <v>1753</v>
      </c>
      <c r="C49" s="198" t="s">
        <v>1697</v>
      </c>
      <c r="D49" s="228"/>
      <c r="E49" s="215"/>
      <c r="F49" s="190"/>
      <c r="G49" s="190"/>
      <c r="H49" s="190"/>
      <c r="I49" s="190"/>
      <c r="J49" s="190"/>
      <c r="K49" s="190"/>
      <c r="L49" s="190"/>
    </row>
    <row r="50" spans="1:12" s="204" customFormat="1" ht="16.350000000000001" customHeight="1">
      <c r="A50" s="692"/>
      <c r="B50" s="695"/>
      <c r="C50" s="198" t="s">
        <v>1742</v>
      </c>
      <c r="D50" s="225">
        <v>10.61</v>
      </c>
      <c r="E50" s="215"/>
      <c r="F50" s="190"/>
      <c r="G50" s="190"/>
      <c r="H50" s="190"/>
      <c r="I50" s="190"/>
      <c r="J50" s="190"/>
      <c r="K50" s="190"/>
      <c r="L50" s="190"/>
    </row>
    <row r="51" spans="1:12" s="204" customFormat="1" ht="16.350000000000001" customHeight="1">
      <c r="A51" s="692"/>
      <c r="B51" s="696"/>
      <c r="C51" s="198" t="s">
        <v>1743</v>
      </c>
      <c r="D51" s="227">
        <v>0.51988999999999996</v>
      </c>
      <c r="E51" s="215"/>
      <c r="F51" s="190"/>
      <c r="G51" s="190"/>
      <c r="H51" s="190"/>
      <c r="I51" s="190"/>
      <c r="J51" s="190"/>
      <c r="K51" s="190"/>
      <c r="L51" s="190"/>
    </row>
    <row r="52" spans="1:12" s="204" customFormat="1" ht="16.350000000000001" customHeight="1">
      <c r="A52" s="692"/>
      <c r="B52" s="694" t="s">
        <v>1754</v>
      </c>
      <c r="C52" s="198" t="s">
        <v>1697</v>
      </c>
      <c r="D52" s="227">
        <v>0.59092999999999996</v>
      </c>
      <c r="E52" s="215"/>
      <c r="F52" s="190"/>
      <c r="G52" s="190"/>
      <c r="H52" s="190"/>
      <c r="I52" s="190"/>
      <c r="J52" s="190"/>
      <c r="K52" s="190"/>
      <c r="L52" s="190"/>
    </row>
    <row r="53" spans="1:12" s="204" customFormat="1" ht="16.350000000000001" customHeight="1">
      <c r="A53" s="692"/>
      <c r="B53" s="695"/>
      <c r="C53" s="198" t="s">
        <v>1742</v>
      </c>
      <c r="D53" s="225">
        <v>37.393999999999998</v>
      </c>
      <c r="E53" s="215"/>
      <c r="F53" s="190"/>
      <c r="G53" s="190"/>
      <c r="H53" s="190"/>
      <c r="I53" s="190"/>
      <c r="J53" s="190"/>
      <c r="K53" s="190"/>
      <c r="L53" s="190"/>
    </row>
    <row r="54" spans="1:12" s="204" customFormat="1" ht="16.350000000000001" customHeight="1">
      <c r="A54" s="692"/>
      <c r="B54" s="696" t="s">
        <v>1754</v>
      </c>
      <c r="C54" s="198" t="s">
        <v>1743</v>
      </c>
      <c r="D54" s="227">
        <v>0.74517999999999995</v>
      </c>
      <c r="E54" s="215"/>
      <c r="F54" s="190"/>
      <c r="G54" s="190"/>
      <c r="H54" s="190"/>
      <c r="I54" s="190"/>
      <c r="J54" s="190"/>
      <c r="K54" s="190"/>
      <c r="L54" s="190"/>
    </row>
    <row r="55" spans="1:12" s="204" customFormat="1" ht="16.350000000000001" customHeight="1">
      <c r="A55" s="692"/>
      <c r="B55" s="688" t="s">
        <v>1755</v>
      </c>
      <c r="C55" s="198" t="s">
        <v>1697</v>
      </c>
      <c r="D55" s="227">
        <v>0.35933999999999999</v>
      </c>
      <c r="E55" s="215"/>
      <c r="F55" s="190"/>
      <c r="G55" s="190"/>
      <c r="H55" s="190"/>
      <c r="I55" s="190"/>
      <c r="J55" s="190"/>
      <c r="K55" s="190"/>
      <c r="L55" s="190"/>
    </row>
    <row r="56" spans="1:12" s="204" customFormat="1" ht="16.350000000000001" customHeight="1">
      <c r="A56" s="692"/>
      <c r="B56" s="689"/>
      <c r="C56" s="198" t="s">
        <v>1742</v>
      </c>
      <c r="D56" s="225">
        <v>10.324</v>
      </c>
      <c r="E56" s="215"/>
      <c r="F56" s="190"/>
      <c r="G56" s="190"/>
      <c r="H56" s="190"/>
      <c r="I56" s="190"/>
      <c r="J56" s="190"/>
      <c r="K56" s="190"/>
      <c r="L56" s="190"/>
    </row>
    <row r="57" spans="1:12" s="204" customFormat="1" ht="16.350000000000001" customHeight="1">
      <c r="A57" s="693"/>
      <c r="B57" s="690"/>
      <c r="C57" s="198" t="s">
        <v>1743</v>
      </c>
      <c r="D57" s="227">
        <v>0.45456999999999997</v>
      </c>
      <c r="E57" s="215"/>
      <c r="F57" s="190"/>
      <c r="G57" s="190"/>
      <c r="H57" s="190"/>
      <c r="I57" s="190"/>
      <c r="J57" s="190"/>
      <c r="K57" s="190"/>
      <c r="L57" s="190"/>
    </row>
    <row r="58" spans="1:12" s="167" customFormat="1">
      <c r="A58" s="194"/>
      <c r="B58" s="194"/>
      <c r="C58" s="194"/>
      <c r="D58" s="229"/>
      <c r="E58" s="215"/>
      <c r="F58" s="224"/>
      <c r="G58" s="224"/>
      <c r="H58" s="224"/>
      <c r="I58" s="224"/>
      <c r="J58" s="224"/>
      <c r="K58" s="224"/>
      <c r="L58" s="224"/>
    </row>
    <row r="59" spans="1:12" s="167" customFormat="1">
      <c r="A59" s="194"/>
      <c r="B59" s="194"/>
      <c r="C59" s="194"/>
      <c r="D59" s="229"/>
      <c r="E59" s="215"/>
      <c r="F59" s="224"/>
      <c r="G59" s="224"/>
      <c r="H59" s="224"/>
      <c r="I59" s="224"/>
      <c r="J59" s="224"/>
      <c r="K59" s="224"/>
      <c r="L59" s="224"/>
    </row>
    <row r="60" spans="1:12" s="167" customFormat="1">
      <c r="A60" s="194"/>
      <c r="B60" s="194"/>
      <c r="C60" s="194"/>
      <c r="D60" s="229"/>
      <c r="E60" s="215"/>
      <c r="F60" s="224"/>
      <c r="G60" s="224"/>
      <c r="H60" s="224"/>
      <c r="I60" s="224"/>
      <c r="J60" s="224"/>
      <c r="K60" s="224"/>
      <c r="L60" s="224"/>
    </row>
    <row r="61" spans="1:12" s="167" customFormat="1" ht="15.6">
      <c r="A61" s="196" t="s">
        <v>1629</v>
      </c>
      <c r="B61" s="196" t="s">
        <v>625</v>
      </c>
      <c r="C61" s="196" t="s">
        <v>1631</v>
      </c>
      <c r="D61" s="230" t="s">
        <v>1632</v>
      </c>
      <c r="E61" s="215"/>
      <c r="F61" s="224"/>
      <c r="G61" s="224"/>
      <c r="H61" s="224"/>
      <c r="I61" s="224"/>
      <c r="J61" s="224"/>
      <c r="K61" s="224"/>
      <c r="L61" s="224"/>
    </row>
    <row r="62" spans="1:12" s="167" customFormat="1">
      <c r="A62" s="664" t="s">
        <v>1756</v>
      </c>
      <c r="B62" s="664" t="s">
        <v>1757</v>
      </c>
      <c r="C62" s="198" t="s">
        <v>1635</v>
      </c>
      <c r="D62" s="225">
        <v>52.14</v>
      </c>
      <c r="E62" s="215"/>
      <c r="F62" s="224"/>
      <c r="G62" s="224"/>
      <c r="H62" s="224"/>
      <c r="I62" s="224"/>
      <c r="J62" s="224"/>
      <c r="K62" s="224"/>
      <c r="L62" s="224"/>
    </row>
    <row r="63" spans="1:12" s="167" customFormat="1">
      <c r="A63" s="664"/>
      <c r="B63" s="664"/>
      <c r="C63" s="198" t="s">
        <v>202</v>
      </c>
      <c r="D63" s="225">
        <v>1.277E-2</v>
      </c>
      <c r="E63" s="215"/>
      <c r="F63" s="224"/>
      <c r="G63" s="224"/>
      <c r="H63" s="224"/>
      <c r="I63" s="224"/>
      <c r="J63" s="224"/>
      <c r="K63" s="224"/>
      <c r="L63" s="224"/>
    </row>
    <row r="64" spans="1:12" s="167" customFormat="1">
      <c r="A64" s="664"/>
      <c r="B64" s="664" t="s">
        <v>1758</v>
      </c>
      <c r="C64" s="198" t="s">
        <v>1635</v>
      </c>
      <c r="D64" s="225">
        <v>30.4</v>
      </c>
      <c r="E64" s="215"/>
      <c r="F64" s="224"/>
      <c r="G64" s="224"/>
      <c r="H64" s="224"/>
      <c r="I64" s="224"/>
      <c r="J64" s="224"/>
      <c r="K64" s="224"/>
      <c r="L64" s="224"/>
    </row>
    <row r="65" spans="1:12" s="167" customFormat="1">
      <c r="A65" s="664"/>
      <c r="B65" s="664"/>
      <c r="C65" s="198" t="s">
        <v>202</v>
      </c>
      <c r="D65" s="225">
        <v>7.92E-3</v>
      </c>
      <c r="E65" s="215"/>
      <c r="F65" s="224"/>
      <c r="G65" s="224"/>
      <c r="H65" s="224"/>
      <c r="I65" s="224"/>
      <c r="J65" s="224"/>
      <c r="K65" s="224"/>
      <c r="L65" s="224"/>
    </row>
    <row r="66" spans="1:12" s="167" customFormat="1">
      <c r="A66" s="664"/>
      <c r="B66" s="664" t="s">
        <v>1759</v>
      </c>
      <c r="C66" s="198" t="s">
        <v>1635</v>
      </c>
      <c r="D66" s="225">
        <v>177</v>
      </c>
      <c r="E66" s="215"/>
      <c r="F66" s="224"/>
      <c r="G66" s="224"/>
      <c r="H66" s="224"/>
      <c r="I66" s="224"/>
      <c r="J66" s="224"/>
      <c r="K66" s="224"/>
      <c r="L66" s="224"/>
    </row>
    <row r="67" spans="1:12" s="167" customFormat="1">
      <c r="A67" s="664"/>
      <c r="B67" s="664"/>
      <c r="C67" s="198" t="s">
        <v>202</v>
      </c>
      <c r="D67" s="225">
        <v>3.7440000000000001E-2</v>
      </c>
      <c r="E67" s="215"/>
      <c r="F67" s="224"/>
      <c r="G67" s="224"/>
      <c r="H67" s="224"/>
      <c r="I67" s="224"/>
      <c r="J67" s="224"/>
      <c r="K67" s="224"/>
      <c r="L67" s="224"/>
    </row>
    <row r="68" spans="1:12" s="167" customFormat="1">
      <c r="A68" s="664"/>
      <c r="B68" s="664" t="s">
        <v>1760</v>
      </c>
      <c r="C68" s="198" t="s">
        <v>1635</v>
      </c>
      <c r="D68" s="225">
        <v>68.650000000000006</v>
      </c>
      <c r="E68" s="215"/>
      <c r="F68" s="224"/>
      <c r="G68" s="224"/>
      <c r="H68" s="224"/>
      <c r="I68" s="224"/>
      <c r="J68" s="224"/>
      <c r="K68" s="224"/>
      <c r="L68" s="224"/>
    </row>
    <row r="69" spans="1:12" s="167" customFormat="1">
      <c r="A69" s="664"/>
      <c r="B69" s="664"/>
      <c r="C69" s="198" t="s">
        <v>202</v>
      </c>
      <c r="D69" s="225">
        <v>1.6039999999999999E-2</v>
      </c>
      <c r="E69" s="215"/>
      <c r="F69" s="224"/>
      <c r="G69" s="224"/>
      <c r="H69" s="224"/>
      <c r="I69" s="224"/>
      <c r="J69" s="224"/>
      <c r="K69" s="224"/>
      <c r="L69" s="224"/>
    </row>
    <row r="70" spans="1:12" s="167" customFormat="1">
      <c r="A70" s="194"/>
      <c r="B70" s="194"/>
      <c r="C70" s="194"/>
      <c r="D70" s="229"/>
      <c r="E70" s="215"/>
      <c r="F70" s="224"/>
      <c r="G70" s="224"/>
      <c r="H70" s="224"/>
      <c r="I70" s="224"/>
      <c r="J70" s="224"/>
      <c r="K70" s="224"/>
      <c r="L70" s="224"/>
    </row>
    <row r="71" spans="1:12" s="167" customFormat="1">
      <c r="A71" s="194"/>
      <c r="B71" s="194"/>
      <c r="C71" s="194"/>
      <c r="D71" s="229"/>
      <c r="E71" s="215"/>
      <c r="F71" s="224"/>
      <c r="G71" s="224"/>
      <c r="H71" s="224"/>
      <c r="I71" s="224"/>
      <c r="J71" s="224"/>
      <c r="K71" s="224"/>
      <c r="L71" s="224"/>
    </row>
    <row r="72" spans="1:12" s="167" customFormat="1">
      <c r="A72" s="194"/>
      <c r="B72" s="194"/>
      <c r="C72" s="194"/>
      <c r="D72" s="229"/>
      <c r="E72" s="215"/>
      <c r="F72" s="224"/>
      <c r="G72" s="224"/>
      <c r="H72" s="224"/>
      <c r="I72" s="224"/>
      <c r="J72" s="224"/>
      <c r="K72" s="224"/>
      <c r="L72" s="224"/>
    </row>
    <row r="73" spans="1:12" s="167" customFormat="1" ht="15.6">
      <c r="A73" s="196" t="s">
        <v>1629</v>
      </c>
      <c r="B73" s="196" t="s">
        <v>625</v>
      </c>
      <c r="C73" s="196" t="s">
        <v>1631</v>
      </c>
      <c r="D73" s="230" t="s">
        <v>1632</v>
      </c>
      <c r="E73" s="215"/>
      <c r="F73" s="224"/>
      <c r="G73" s="224"/>
      <c r="H73" s="224"/>
      <c r="I73" s="224"/>
      <c r="J73" s="224"/>
      <c r="K73" s="224"/>
      <c r="L73" s="224"/>
    </row>
    <row r="74" spans="1:12" s="167" customFormat="1">
      <c r="A74" s="664" t="s">
        <v>1761</v>
      </c>
      <c r="B74" s="664" t="s">
        <v>1762</v>
      </c>
      <c r="C74" s="198" t="s">
        <v>1635</v>
      </c>
      <c r="D74" s="225">
        <v>102.85714</v>
      </c>
      <c r="E74" s="215"/>
      <c r="F74" s="224"/>
      <c r="G74" s="224"/>
      <c r="H74" s="224"/>
      <c r="I74" s="224"/>
      <c r="J74" s="224"/>
      <c r="K74" s="224"/>
      <c r="L74" s="224"/>
    </row>
    <row r="75" spans="1:12" s="167" customFormat="1">
      <c r="A75" s="664"/>
      <c r="B75" s="664"/>
      <c r="C75" s="198" t="s">
        <v>202</v>
      </c>
      <c r="D75" s="225">
        <v>1.8509999999999999E-2</v>
      </c>
      <c r="E75" s="215"/>
      <c r="F75" s="224"/>
      <c r="G75" s="224"/>
      <c r="H75" s="224"/>
      <c r="I75" s="224"/>
      <c r="J75" s="224"/>
      <c r="K75" s="224"/>
      <c r="L75" s="224"/>
    </row>
    <row r="76" spans="1:12" s="167" customFormat="1">
      <c r="A76" s="664"/>
      <c r="B76" s="664" t="s">
        <v>1763</v>
      </c>
      <c r="C76" s="198" t="s">
        <v>1635</v>
      </c>
      <c r="D76" s="225">
        <v>0</v>
      </c>
      <c r="E76" s="215"/>
      <c r="F76" s="224"/>
      <c r="G76" s="224"/>
      <c r="H76" s="224"/>
      <c r="I76" s="224"/>
      <c r="J76" s="224"/>
      <c r="K76" s="224"/>
      <c r="L76" s="224"/>
    </row>
    <row r="77" spans="1:12" s="167" customFormat="1">
      <c r="A77" s="664"/>
      <c r="B77" s="664"/>
      <c r="C77" s="198" t="s">
        <v>202</v>
      </c>
      <c r="D77" s="225">
        <v>0</v>
      </c>
      <c r="E77" s="215"/>
      <c r="F77" s="224"/>
      <c r="G77" s="224"/>
      <c r="H77" s="224"/>
      <c r="I77" s="224"/>
      <c r="J77" s="224"/>
      <c r="K77" s="224"/>
      <c r="L77" s="224"/>
    </row>
    <row r="78" spans="1:12" s="167" customFormat="1">
      <c r="A78" s="224"/>
      <c r="B78" s="224"/>
      <c r="C78" s="224"/>
      <c r="D78" s="224"/>
      <c r="E78" s="224"/>
      <c r="F78" s="224"/>
      <c r="G78" s="224"/>
      <c r="H78" s="224"/>
      <c r="I78" s="224"/>
      <c r="J78" s="224"/>
      <c r="K78" s="224"/>
      <c r="L78" s="224"/>
    </row>
    <row r="79" spans="1:12" ht="31.5" customHeight="1">
      <c r="A79" s="697"/>
      <c r="B79" s="697"/>
      <c r="C79" s="697"/>
      <c r="D79" s="697"/>
      <c r="E79" s="697"/>
      <c r="F79" s="697"/>
      <c r="G79" s="697"/>
      <c r="H79" s="697"/>
      <c r="I79" s="167"/>
      <c r="J79" s="167"/>
      <c r="K79" s="167"/>
      <c r="L79" s="167"/>
    </row>
    <row r="80" spans="1:12" ht="18" customHeight="1">
      <c r="A80" s="698" t="s">
        <v>1764</v>
      </c>
      <c r="B80" s="698"/>
      <c r="C80" s="698"/>
      <c r="D80" s="698"/>
      <c r="E80" s="698"/>
      <c r="F80" s="698"/>
      <c r="G80" s="698"/>
      <c r="H80" s="698"/>
      <c r="I80" s="698"/>
      <c r="J80" s="698"/>
      <c r="K80" s="698"/>
      <c r="L80" s="698"/>
    </row>
    <row r="81" s="167" customFormat="1"/>
    <row r="82" s="167" customFormat="1"/>
    <row r="83" s="167" customFormat="1"/>
    <row r="84" s="167" customFormat="1"/>
    <row r="85" s="167" customFormat="1"/>
    <row r="86" s="167" customFormat="1"/>
    <row r="87" s="167" customFormat="1"/>
    <row r="88" s="167" customFormat="1"/>
    <row r="89" s="167" customFormat="1"/>
    <row r="90" s="167" customFormat="1"/>
    <row r="91" s="167" customFormat="1"/>
    <row r="92" s="167" customFormat="1"/>
    <row r="93" s="167" customFormat="1"/>
    <row r="94" s="167" customFormat="1"/>
    <row r="95" s="167" customFormat="1"/>
    <row r="96" s="167" customFormat="1"/>
    <row r="97" s="167" customFormat="1"/>
    <row r="98" s="167" customFormat="1"/>
    <row r="99" s="167" customFormat="1"/>
    <row r="100" s="167" customFormat="1"/>
    <row r="101" s="167" customFormat="1"/>
    <row r="102" s="167" customFormat="1"/>
    <row r="103" s="167" customFormat="1"/>
    <row r="104" s="167" customFormat="1"/>
    <row r="105" s="167" customFormat="1"/>
    <row r="106" s="167" customFormat="1"/>
    <row r="107" s="167" customFormat="1"/>
    <row r="108" s="167" customFormat="1"/>
    <row r="109" s="167" customFormat="1"/>
    <row r="110" s="167" customFormat="1"/>
    <row r="111" s="167" customFormat="1"/>
    <row r="112" s="167" customFormat="1"/>
    <row r="113" s="167" customFormat="1"/>
    <row r="114" s="167" customFormat="1"/>
    <row r="115" s="167" customFormat="1"/>
    <row r="116" s="167" customFormat="1"/>
    <row r="117" s="167" customFormat="1"/>
    <row r="118" s="167" customFormat="1"/>
    <row r="119" s="167" customFormat="1"/>
    <row r="120" s="167" customFormat="1"/>
    <row r="121" s="167" customFormat="1"/>
    <row r="122" s="167" customFormat="1"/>
    <row r="123" s="167" customFormat="1"/>
    <row r="124" s="167" customFormat="1"/>
    <row r="125" s="167" customFormat="1"/>
    <row r="126" s="167" customFormat="1"/>
    <row r="127" s="167" customFormat="1"/>
    <row r="128" s="167" customFormat="1"/>
    <row r="129" s="167" customFormat="1"/>
    <row r="130" s="167" customFormat="1"/>
    <row r="131" s="167" customFormat="1"/>
    <row r="132" s="167" customFormat="1"/>
    <row r="133" s="167" customFormat="1"/>
    <row r="134" s="167" customFormat="1"/>
    <row r="135" s="167" customFormat="1"/>
    <row r="136" s="167" customFormat="1"/>
    <row r="137" s="167" customFormat="1"/>
    <row r="138" s="167" customFormat="1"/>
    <row r="139" s="167" customFormat="1"/>
    <row r="140" s="167" customFormat="1"/>
    <row r="141" s="167" customFormat="1"/>
    <row r="142" s="167" customFormat="1"/>
    <row r="143" s="167" customFormat="1"/>
    <row r="144" s="167" customFormat="1"/>
    <row r="145" s="167" customFormat="1"/>
    <row r="146" s="167" customFormat="1"/>
    <row r="147" s="167" customFormat="1"/>
    <row r="148" s="167" customFormat="1"/>
    <row r="149" s="167" customFormat="1"/>
    <row r="150" s="167" customFormat="1"/>
    <row r="151" s="167" customFormat="1"/>
    <row r="152" s="167" customFormat="1"/>
    <row r="153" s="167" customFormat="1"/>
    <row r="154" s="167" customFormat="1"/>
    <row r="155" s="167" customFormat="1"/>
    <row r="156" s="167" customFormat="1"/>
    <row r="157" s="167" customFormat="1"/>
    <row r="158" s="167" customFormat="1"/>
    <row r="159" s="167" customFormat="1"/>
    <row r="160" s="167" customFormat="1"/>
    <row r="161" s="167" customFormat="1"/>
    <row r="162" s="167" customFormat="1"/>
    <row r="163" s="167" customFormat="1"/>
    <row r="164" s="167" customFormat="1"/>
    <row r="165" s="167" customFormat="1"/>
    <row r="166" s="167" customFormat="1"/>
    <row r="167" s="167" customFormat="1"/>
    <row r="168" s="167" customFormat="1"/>
    <row r="169" s="167" customFormat="1"/>
    <row r="170" s="167" customFormat="1"/>
    <row r="171" s="167" customFormat="1"/>
    <row r="172" s="167" customFormat="1"/>
    <row r="173" s="167" customFormat="1"/>
    <row r="174" s="167" customFormat="1"/>
    <row r="175" s="167" customFormat="1"/>
    <row r="176"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167" customFormat="1"/>
    <row r="210" s="167" customFormat="1"/>
    <row r="211" s="167" customFormat="1"/>
    <row r="212" s="167" customFormat="1"/>
    <row r="213" s="167" customFormat="1"/>
    <row r="214" s="167" customFormat="1"/>
    <row r="215" s="167" customFormat="1"/>
    <row r="216" s="167" customFormat="1"/>
    <row r="217" s="167" customFormat="1"/>
    <row r="218" s="167" customFormat="1"/>
    <row r="219" s="167" customFormat="1"/>
    <row r="220" s="167" customFormat="1"/>
    <row r="221" s="167" customFormat="1"/>
    <row r="222" s="167" customFormat="1"/>
    <row r="223" s="167" customFormat="1"/>
    <row r="224" s="167" customFormat="1"/>
    <row r="225" s="167" customFormat="1"/>
    <row r="226" s="167" customFormat="1"/>
    <row r="227" s="167" customFormat="1"/>
    <row r="228" s="167" customFormat="1"/>
    <row r="229" s="167" customFormat="1"/>
    <row r="230" s="167" customFormat="1"/>
    <row r="231" s="167" customFormat="1"/>
    <row r="232" s="167" customFormat="1"/>
    <row r="233" s="167" customFormat="1"/>
    <row r="234" s="167" customFormat="1"/>
    <row r="235" s="167" customFormat="1"/>
    <row r="236" s="167" customFormat="1"/>
    <row r="237" s="167" customFormat="1"/>
    <row r="238" s="167" customFormat="1"/>
    <row r="239" s="167" customFormat="1"/>
    <row r="240" s="167" customFormat="1"/>
    <row r="241" s="167" customFormat="1"/>
    <row r="242" s="167" customFormat="1"/>
    <row r="243" s="167" customFormat="1"/>
    <row r="244" s="167" customFormat="1"/>
    <row r="245" s="167" customFormat="1"/>
    <row r="246" s="167" customFormat="1"/>
    <row r="247" s="167" customFormat="1"/>
    <row r="248" s="167" customFormat="1"/>
    <row r="249" s="167" customFormat="1"/>
    <row r="250" s="167" customFormat="1"/>
    <row r="251" s="167" customFormat="1"/>
    <row r="252" s="167" customFormat="1"/>
    <row r="253" s="167" customFormat="1"/>
    <row r="254" s="167" customFormat="1"/>
    <row r="255" s="167" customFormat="1"/>
    <row r="256" s="167" customFormat="1"/>
    <row r="257" s="167" customFormat="1"/>
    <row r="258" s="167" customFormat="1"/>
    <row r="259" s="167" customFormat="1"/>
    <row r="260" s="167" customFormat="1"/>
    <row r="261" s="167" customFormat="1"/>
    <row r="262" s="167" customFormat="1"/>
    <row r="263" s="167" customFormat="1"/>
    <row r="264" s="167" customFormat="1"/>
    <row r="265" s="167" customFormat="1"/>
    <row r="266" s="167" customFormat="1"/>
    <row r="267" s="167" customFormat="1"/>
    <row r="268" s="167" customFormat="1"/>
    <row r="269" s="167" customFormat="1"/>
    <row r="270" s="167" customFormat="1"/>
    <row r="271" s="167" customFormat="1"/>
    <row r="272" s="167" customFormat="1"/>
    <row r="273" s="167" customFormat="1"/>
    <row r="274" s="167" customFormat="1"/>
    <row r="275" s="167" customFormat="1"/>
    <row r="276" s="167" customFormat="1"/>
    <row r="277" s="167" customFormat="1"/>
    <row r="278" s="167" customFormat="1"/>
  </sheetData>
  <sheetProtection algorithmName="SHA-512" hashValue="Re3ITjVn7BwijuHnhw0NuJLLwOzfwEgGG0H/ZHLSHZSfOWHycclxGeNB3ucU5g1yKDhtemj+lvWYT9dN3Ie/gQ==" saltValue="O1CNGIDpIUzXM6tnl10Oig==" spinCount="100000" sheet="1" objects="1" scenarios="1" autoFilter="0"/>
  <mergeCells count="32">
    <mergeCell ref="A79:H79"/>
    <mergeCell ref="A80:L80"/>
    <mergeCell ref="A62:A69"/>
    <mergeCell ref="B62:B63"/>
    <mergeCell ref="B64:B65"/>
    <mergeCell ref="B66:B67"/>
    <mergeCell ref="B68:B69"/>
    <mergeCell ref="A74:A77"/>
    <mergeCell ref="B74:B75"/>
    <mergeCell ref="B76:B77"/>
    <mergeCell ref="B55:B57"/>
    <mergeCell ref="A15:L15"/>
    <mergeCell ref="A16:L16"/>
    <mergeCell ref="A19:A57"/>
    <mergeCell ref="B19:B21"/>
    <mergeCell ref="B22:B24"/>
    <mergeCell ref="B25:B27"/>
    <mergeCell ref="B28:B30"/>
    <mergeCell ref="B31:B33"/>
    <mergeCell ref="B34:B36"/>
    <mergeCell ref="B37:B39"/>
    <mergeCell ref="B40:B42"/>
    <mergeCell ref="B43:B45"/>
    <mergeCell ref="B46:B48"/>
    <mergeCell ref="B49:B51"/>
    <mergeCell ref="B52:B54"/>
    <mergeCell ref="A14:L14"/>
    <mergeCell ref="A8:L8"/>
    <mergeCell ref="A9:L9"/>
    <mergeCell ref="A10:L10"/>
    <mergeCell ref="A11:L11"/>
    <mergeCell ref="B13:C13"/>
  </mergeCells>
  <hyperlinks>
    <hyperlink ref="A3" location="Index!A1" display="Index" xr:uid="{00000000-0004-0000-2000-000000000000}"/>
    <hyperlink ref="B12" location="Bioenergy!A1" display="- Bioenergy and" xr:uid="{00000000-0004-0000-2000-000001000000}"/>
    <hyperlink ref="B13:C13" location="'Outside of scopes'!A1" display="- Outside of scopes tabs." xr:uid="{00000000-0004-0000-2000-000002000000}"/>
  </hyperlinks>
  <pageMargins left="0.7" right="0.7" top="0.75" bottom="0.75" header="0.3" footer="0.3"/>
  <pageSetup paperSize="9" scale="36" fitToHeight="0" orientation="landscape"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8168889431442"/>
    <pageSetUpPr fitToPage="1"/>
  </sheetPr>
  <dimension ref="A1:AP97"/>
  <sheetViews>
    <sheetView workbookViewId="0"/>
  </sheetViews>
  <sheetFormatPr baseColWidth="10" defaultColWidth="11.33203125" defaultRowHeight="14.4"/>
  <cols>
    <col min="1" max="2" width="17.44140625" style="168" customWidth="1"/>
    <col min="3" max="3" width="15.33203125" style="168" customWidth="1"/>
    <col min="4" max="4" width="17.33203125" style="168" customWidth="1"/>
    <col min="5" max="5" width="11.33203125" style="168"/>
    <col min="6" max="6" width="17.5546875" style="168" customWidth="1"/>
    <col min="7" max="16384" width="11.33203125" style="168"/>
  </cols>
  <sheetData>
    <row r="1" spans="1:42" s="164" customFormat="1" ht="10.199999999999999">
      <c r="A1" s="164" t="s">
        <v>1606</v>
      </c>
    </row>
    <row r="2" spans="1:42" ht="21">
      <c r="A2" s="165" t="s">
        <v>1765</v>
      </c>
      <c r="B2" s="165"/>
      <c r="C2" s="165"/>
      <c r="D2" s="165"/>
      <c r="E2" s="165"/>
      <c r="F2" s="165"/>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row>
    <row r="3" spans="1:42">
      <c r="A3" s="169" t="s">
        <v>1608</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row>
    <row r="4" spans="1:42"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row>
    <row r="5" spans="1:42" ht="28.2" thickTop="1">
      <c r="A5" s="177" t="s">
        <v>1609</v>
      </c>
      <c r="B5" s="178" t="s">
        <v>1765</v>
      </c>
      <c r="C5" s="177" t="s">
        <v>1610</v>
      </c>
      <c r="D5" s="179">
        <v>45818</v>
      </c>
      <c r="E5" s="207" t="s">
        <v>1611</v>
      </c>
      <c r="F5" s="179" t="s">
        <v>1612</v>
      </c>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row>
    <row r="6" spans="1:42" ht="15" thickBot="1">
      <c r="A6" s="182" t="s">
        <v>1613</v>
      </c>
      <c r="B6" s="183" t="s">
        <v>1614</v>
      </c>
      <c r="C6" s="184" t="s">
        <v>1615</v>
      </c>
      <c r="D6" s="231">
        <v>1.1000000000000001</v>
      </c>
      <c r="E6" s="184" t="s">
        <v>1616</v>
      </c>
      <c r="F6" s="209">
        <v>2024</v>
      </c>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row>
    <row r="7" spans="1:42"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row>
    <row r="8" spans="1:42" ht="15.6" thickTop="1" thickBot="1">
      <c r="A8" s="665" t="s">
        <v>1766</v>
      </c>
      <c r="B8" s="666"/>
      <c r="C8" s="666"/>
      <c r="D8" s="666"/>
      <c r="E8" s="666"/>
      <c r="F8" s="666"/>
      <c r="G8" s="666"/>
      <c r="H8" s="666"/>
      <c r="I8" s="666"/>
      <c r="J8" s="666"/>
      <c r="K8" s="666"/>
      <c r="L8" s="6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ht="15" thickTop="1">
      <c r="A9" s="668"/>
      <c r="B9" s="677"/>
      <c r="C9" s="677"/>
      <c r="D9" s="677"/>
      <c r="E9" s="677"/>
      <c r="F9" s="677"/>
      <c r="G9" s="677"/>
      <c r="H9" s="677"/>
      <c r="I9" s="677"/>
      <c r="J9" s="677"/>
      <c r="K9" s="677"/>
      <c r="L9" s="67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row>
    <row r="10" spans="1:42" ht="15" customHeight="1">
      <c r="A10" s="669" t="s">
        <v>1618</v>
      </c>
      <c r="B10" s="669"/>
      <c r="C10" s="669"/>
      <c r="D10" s="669"/>
      <c r="E10" s="669"/>
      <c r="F10" s="669"/>
      <c r="G10" s="669"/>
      <c r="H10" s="669"/>
      <c r="I10" s="669"/>
      <c r="J10" s="669"/>
      <c r="K10" s="669"/>
      <c r="L10" s="669"/>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row>
    <row r="11" spans="1:42" ht="34.5" customHeight="1">
      <c r="A11" s="701" t="s">
        <v>1767</v>
      </c>
      <c r="B11" s="701"/>
      <c r="C11" s="701"/>
      <c r="D11" s="701"/>
      <c r="E11" s="701"/>
      <c r="F11" s="701"/>
      <c r="G11" s="701"/>
      <c r="H11" s="701"/>
      <c r="I11" s="701"/>
      <c r="J11" s="701"/>
      <c r="K11" s="701"/>
      <c r="L11" s="701"/>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row>
    <row r="12" spans="1:42" ht="25.5" customHeight="1">
      <c r="A12" s="669" t="s">
        <v>1768</v>
      </c>
      <c r="B12" s="669"/>
      <c r="C12" s="669"/>
      <c r="D12" s="669"/>
      <c r="E12" s="669"/>
      <c r="F12" s="669"/>
      <c r="G12" s="669"/>
      <c r="H12" s="669"/>
      <c r="I12" s="669"/>
      <c r="J12" s="669"/>
      <c r="K12" s="669"/>
      <c r="L12" s="669"/>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row>
    <row r="13" spans="1:42">
      <c r="A13" s="668" t="s">
        <v>1769</v>
      </c>
      <c r="B13" s="668"/>
      <c r="C13" s="668"/>
      <c r="D13" s="668"/>
      <c r="E13" s="668"/>
      <c r="F13" s="668"/>
      <c r="G13" s="668"/>
      <c r="H13" s="668"/>
      <c r="I13" s="668"/>
      <c r="J13" s="668"/>
      <c r="K13" s="668"/>
      <c r="L13" s="668"/>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row>
    <row r="14" spans="1:42" ht="23.1" customHeight="1">
      <c r="A14" s="668" t="s">
        <v>1770</v>
      </c>
      <c r="B14" s="668"/>
      <c r="C14" s="668"/>
      <c r="D14" s="668"/>
      <c r="E14" s="668"/>
      <c r="F14" s="668"/>
      <c r="G14" s="668"/>
      <c r="H14" s="668"/>
      <c r="I14" s="668"/>
      <c r="J14" s="668"/>
      <c r="K14" s="668"/>
      <c r="L14" s="668"/>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row>
    <row r="15" spans="1:42" s="239" customFormat="1" ht="9" customHeight="1">
      <c r="A15" s="192"/>
      <c r="B15" s="192"/>
      <c r="C15" s="192"/>
      <c r="D15" s="192"/>
      <c r="E15" s="192"/>
      <c r="F15" s="192"/>
      <c r="G15" s="192"/>
      <c r="H15" s="192"/>
      <c r="I15" s="192"/>
      <c r="J15" s="192"/>
      <c r="K15" s="192"/>
      <c r="L15" s="192"/>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row>
    <row r="16" spans="1:42" s="239" customFormat="1" ht="15.6">
      <c r="A16" s="232" t="s">
        <v>1629</v>
      </c>
      <c r="B16" s="232" t="s">
        <v>1771</v>
      </c>
      <c r="C16" s="232" t="s">
        <v>1631</v>
      </c>
      <c r="D16" s="233" t="s">
        <v>1632</v>
      </c>
      <c r="E16" s="235"/>
      <c r="F16" s="235"/>
      <c r="G16" s="235"/>
      <c r="H16" s="235"/>
      <c r="I16" s="235"/>
      <c r="J16" s="235"/>
      <c r="K16" s="235"/>
      <c r="L16" s="235"/>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row>
    <row r="17" spans="1:42" s="239" customFormat="1">
      <c r="A17" s="699" t="s">
        <v>1765</v>
      </c>
      <c r="B17" s="699" t="s">
        <v>1765</v>
      </c>
      <c r="C17" s="233" t="s">
        <v>1703</v>
      </c>
      <c r="D17" s="236">
        <v>0.18573999999999999</v>
      </c>
      <c r="E17" s="235"/>
      <c r="F17" s="235"/>
      <c r="G17" s="235"/>
      <c r="H17" s="235"/>
      <c r="I17" s="235"/>
      <c r="J17" s="235"/>
      <c r="K17" s="235"/>
      <c r="L17" s="235"/>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row>
    <row r="18" spans="1:42" s="239" customFormat="1">
      <c r="A18" s="699"/>
      <c r="B18" s="699"/>
      <c r="C18" s="233" t="s">
        <v>1772</v>
      </c>
      <c r="D18" s="236">
        <v>185.74119999999999</v>
      </c>
      <c r="E18" s="235"/>
      <c r="F18" s="235"/>
      <c r="G18" s="235"/>
      <c r="H18" s="235"/>
      <c r="I18" s="235"/>
      <c r="J18" s="235"/>
      <c r="K18" s="235"/>
      <c r="L18" s="235"/>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row>
    <row r="19" spans="1:42" s="239" customFormat="1">
      <c r="A19" s="235"/>
      <c r="B19" s="235"/>
      <c r="C19" s="235"/>
      <c r="D19" s="235"/>
      <c r="E19" s="235"/>
      <c r="F19" s="235"/>
      <c r="G19" s="235"/>
      <c r="H19" s="235"/>
      <c r="I19" s="235"/>
      <c r="J19" s="235"/>
      <c r="K19" s="235"/>
      <c r="L19" s="235"/>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row>
    <row r="20" spans="1:42">
      <c r="A20" s="700" t="s">
        <v>1685</v>
      </c>
      <c r="B20" s="700"/>
      <c r="C20" s="700"/>
      <c r="D20" s="700"/>
      <c r="E20" s="700"/>
      <c r="F20" s="700"/>
      <c r="G20" s="700"/>
      <c r="H20" s="700"/>
      <c r="I20" s="700"/>
      <c r="J20" s="700"/>
      <c r="K20" s="219"/>
      <c r="L20" s="219"/>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row>
    <row r="21" spans="1:42" s="167" customFormat="1"/>
    <row r="22" spans="1:42" s="167" customFormat="1"/>
    <row r="23" spans="1:42" s="167" customFormat="1"/>
    <row r="24" spans="1:42" s="167" customFormat="1"/>
    <row r="25" spans="1:42" s="167" customFormat="1"/>
    <row r="26" spans="1:42" s="167" customFormat="1"/>
    <row r="27" spans="1:42" s="167" customFormat="1"/>
    <row r="28" spans="1:42" s="167" customFormat="1"/>
    <row r="29" spans="1:42" s="167" customFormat="1"/>
    <row r="30" spans="1:42" s="167" customFormat="1"/>
    <row r="31" spans="1:42" s="167" customFormat="1"/>
    <row r="32" spans="1:42" s="167" customFormat="1"/>
    <row r="33" s="167" customFormat="1"/>
    <row r="34" s="167" customFormat="1"/>
    <row r="35" s="167" customFormat="1"/>
    <row r="36" s="167" customFormat="1"/>
    <row r="37" s="167" customFormat="1"/>
    <row r="38" s="167" customFormat="1"/>
    <row r="39" s="167" customFormat="1"/>
    <row r="40" s="167" customFormat="1"/>
    <row r="41" s="167" customFormat="1"/>
    <row r="42" s="167" customFormat="1"/>
    <row r="43" s="167" customFormat="1"/>
    <row r="44" s="167" customFormat="1"/>
    <row r="45" s="167" customFormat="1"/>
    <row r="46" s="167" customFormat="1"/>
    <row r="47" s="167" customFormat="1"/>
    <row r="48" s="167" customFormat="1"/>
    <row r="49" s="167" customFormat="1"/>
    <row r="50" s="167" customFormat="1"/>
    <row r="51" s="167" customFormat="1"/>
    <row r="52" s="167" customFormat="1"/>
    <row r="53" s="167" customFormat="1"/>
    <row r="54" s="167" customFormat="1"/>
    <row r="55" s="167" customFormat="1"/>
    <row r="56" s="167" customFormat="1"/>
    <row r="57" s="167" customFormat="1"/>
    <row r="58" s="167" customFormat="1"/>
    <row r="59" s="167" customFormat="1"/>
    <row r="60" s="167" customFormat="1"/>
    <row r="61" s="167" customFormat="1"/>
    <row r="62" s="167" customFormat="1"/>
    <row r="63" s="167" customFormat="1"/>
    <row r="64"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row r="79" s="167" customFormat="1"/>
    <row r="80" s="167" customFormat="1"/>
    <row r="81" s="167" customFormat="1"/>
    <row r="82" s="167" customFormat="1"/>
    <row r="83" s="167" customFormat="1"/>
    <row r="84" s="167" customFormat="1"/>
    <row r="85" s="167" customFormat="1"/>
    <row r="86" s="167" customFormat="1"/>
    <row r="87" s="167" customFormat="1"/>
    <row r="88" s="167" customFormat="1"/>
    <row r="89" s="167" customFormat="1"/>
    <row r="90" s="167" customFormat="1"/>
    <row r="91" s="167" customFormat="1"/>
    <row r="92" s="167" customFormat="1"/>
    <row r="93" s="167" customFormat="1"/>
    <row r="94" s="167" customFormat="1"/>
    <row r="95" s="167" customFormat="1"/>
    <row r="96" s="167" customFormat="1"/>
    <row r="97" s="167" customFormat="1"/>
  </sheetData>
  <sheetProtection algorithmName="SHA-512" hashValue="wY8e8ZIF3Lc841i44R3ypYxlLg2lsVfVg+5EvxFN1kvQp8fzXcLa/DKyS+0VlVmm2HiMEwOneTo90GZvQrBODg==" saltValue="C8XMhr0+hekLeot61nr0tA==" spinCount="100000" sheet="1" objects="1" scenarios="1" autoFilter="0"/>
  <mergeCells count="10">
    <mergeCell ref="A14:L14"/>
    <mergeCell ref="A17:A18"/>
    <mergeCell ref="B17:B18"/>
    <mergeCell ref="A20:J20"/>
    <mergeCell ref="A8:L8"/>
    <mergeCell ref="A9:L9"/>
    <mergeCell ref="A10:L10"/>
    <mergeCell ref="A11:L11"/>
    <mergeCell ref="A12:L12"/>
    <mergeCell ref="A13:L13"/>
  </mergeCells>
  <hyperlinks>
    <hyperlink ref="A3" location="Index!A1" display="Index" xr:uid="{00000000-0004-0000-2100-000000000000}"/>
    <hyperlink ref="A11:L11" location="'Water supply'!A1" display="●  In order to provide a full picture of their Scope 3 water emissions, you should also refer to the ‘water supply’ listing, as both portions, supply and treatment, should be reported on for water." xr:uid="{00000000-0004-0000-2100-000001000000}"/>
  </hyperlinks>
  <pageMargins left="0.7" right="0.7" top="0.75" bottom="0.75" header="0.3" footer="0.3"/>
  <pageSetup paperSize="9" scale="26"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8168889431442"/>
    <pageSetUpPr fitToPage="1"/>
  </sheetPr>
  <dimension ref="A1:AY38"/>
  <sheetViews>
    <sheetView workbookViewId="0"/>
  </sheetViews>
  <sheetFormatPr baseColWidth="10" defaultColWidth="11.33203125" defaultRowHeight="14.4"/>
  <cols>
    <col min="1" max="1" width="16.5546875" style="168" customWidth="1"/>
    <col min="2" max="2" width="13.6640625" style="168" customWidth="1"/>
    <col min="3" max="3" width="15.6640625" style="168" customWidth="1"/>
    <col min="4" max="4" width="13.44140625" style="168" customWidth="1"/>
    <col min="5" max="5" width="11.33203125" style="168"/>
    <col min="6" max="6" width="17.5546875" style="168" customWidth="1"/>
    <col min="7" max="16384" width="11.33203125" style="168"/>
  </cols>
  <sheetData>
    <row r="1" spans="1:51" s="164" customFormat="1" ht="10.199999999999999">
      <c r="A1" s="164" t="s">
        <v>1606</v>
      </c>
    </row>
    <row r="2" spans="1:51" ht="21">
      <c r="A2" s="165" t="s">
        <v>1773</v>
      </c>
      <c r="B2" s="165"/>
      <c r="C2" s="165"/>
      <c r="D2" s="165"/>
      <c r="E2" s="165"/>
      <c r="F2" s="165"/>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row>
    <row r="3" spans="1:51">
      <c r="A3" s="169" t="s">
        <v>1608</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row>
    <row r="4" spans="1:51"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row>
    <row r="5" spans="1:51" ht="28.2" thickTop="1">
      <c r="A5" s="177" t="s">
        <v>1609</v>
      </c>
      <c r="B5" s="178" t="s">
        <v>1773</v>
      </c>
      <c r="C5" s="177" t="s">
        <v>1610</v>
      </c>
      <c r="D5" s="179">
        <v>45818</v>
      </c>
      <c r="E5" s="207" t="s">
        <v>1611</v>
      </c>
      <c r="F5" s="179" t="s">
        <v>1612</v>
      </c>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row>
    <row r="6" spans="1:51" ht="15" thickBot="1">
      <c r="A6" s="182" t="s">
        <v>1613</v>
      </c>
      <c r="B6" s="183" t="s">
        <v>1614</v>
      </c>
      <c r="C6" s="184" t="s">
        <v>1615</v>
      </c>
      <c r="D6" s="231">
        <v>1.1000000000000001</v>
      </c>
      <c r="E6" s="184" t="s">
        <v>1616</v>
      </c>
      <c r="F6" s="209">
        <v>2024</v>
      </c>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row>
    <row r="7" spans="1:51"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row>
    <row r="8" spans="1:51" ht="18.600000000000001" customHeight="1" thickTop="1" thickBot="1">
      <c r="A8" s="665" t="s">
        <v>1774</v>
      </c>
      <c r="B8" s="666"/>
      <c r="C8" s="666"/>
      <c r="D8" s="666"/>
      <c r="E8" s="666"/>
      <c r="F8" s="666"/>
      <c r="G8" s="666"/>
      <c r="H8" s="666"/>
      <c r="I8" s="666"/>
      <c r="J8" s="666"/>
      <c r="K8" s="666"/>
      <c r="L8" s="6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row>
    <row r="9" spans="1:51" s="167" customFormat="1" ht="15" thickTop="1">
      <c r="A9" s="668"/>
      <c r="B9" s="668"/>
      <c r="C9" s="668"/>
      <c r="D9" s="668"/>
      <c r="E9" s="668"/>
      <c r="F9" s="668"/>
      <c r="G9" s="668"/>
      <c r="H9" s="668"/>
      <c r="I9" s="668"/>
      <c r="J9" s="668"/>
      <c r="K9" s="668"/>
      <c r="L9" s="668"/>
    </row>
    <row r="10" spans="1:51" s="167" customFormat="1" ht="15" customHeight="1">
      <c r="A10" s="669" t="s">
        <v>1618</v>
      </c>
      <c r="B10" s="669"/>
      <c r="C10" s="669"/>
      <c r="D10" s="669"/>
      <c r="E10" s="669"/>
      <c r="F10" s="669"/>
      <c r="G10" s="669"/>
      <c r="H10" s="669"/>
      <c r="I10" s="669"/>
      <c r="J10" s="669"/>
      <c r="K10" s="669"/>
      <c r="L10" s="669"/>
    </row>
    <row r="11" spans="1:51" s="167" customFormat="1" ht="37.5" customHeight="1">
      <c r="A11" s="701" t="s">
        <v>1775</v>
      </c>
      <c r="B11" s="701"/>
      <c r="C11" s="701"/>
      <c r="D11" s="701"/>
      <c r="E11" s="701"/>
      <c r="F11" s="701"/>
      <c r="G11" s="701"/>
      <c r="H11" s="701"/>
      <c r="I11" s="701"/>
      <c r="J11" s="701"/>
      <c r="K11" s="701"/>
      <c r="L11" s="701"/>
    </row>
    <row r="12" spans="1:51" s="167" customFormat="1" ht="21.75" customHeight="1">
      <c r="A12" s="669" t="s">
        <v>1776</v>
      </c>
      <c r="B12" s="669"/>
      <c r="C12" s="669"/>
      <c r="D12" s="669"/>
      <c r="E12" s="669"/>
      <c r="F12" s="669"/>
      <c r="G12" s="669"/>
      <c r="H12" s="669"/>
      <c r="I12" s="669"/>
      <c r="J12" s="669"/>
      <c r="K12" s="669"/>
      <c r="L12" s="669"/>
    </row>
    <row r="13" spans="1:51" s="167" customFormat="1" ht="22.5" customHeight="1">
      <c r="A13" s="668" t="s">
        <v>1777</v>
      </c>
      <c r="B13" s="668"/>
      <c r="C13" s="668"/>
      <c r="D13" s="668"/>
      <c r="E13" s="668"/>
      <c r="F13" s="668"/>
      <c r="G13" s="668"/>
      <c r="H13" s="668"/>
      <c r="I13" s="668"/>
      <c r="J13" s="668"/>
      <c r="K13" s="668"/>
      <c r="L13" s="668"/>
    </row>
    <row r="14" spans="1:51" s="167" customFormat="1" ht="18.75" customHeight="1">
      <c r="A14" s="668" t="s">
        <v>1778</v>
      </c>
      <c r="B14" s="668"/>
      <c r="C14" s="668"/>
      <c r="D14" s="668"/>
      <c r="E14" s="668"/>
      <c r="F14" s="668"/>
      <c r="G14" s="668"/>
      <c r="H14" s="668"/>
      <c r="I14" s="668"/>
      <c r="J14" s="668"/>
      <c r="K14" s="668"/>
      <c r="L14" s="668"/>
    </row>
    <row r="15" spans="1:51" s="167" customFormat="1" ht="8.1" customHeight="1">
      <c r="A15" s="668"/>
      <c r="B15" s="668"/>
      <c r="C15" s="668"/>
      <c r="D15" s="668"/>
      <c r="E15" s="668"/>
      <c r="F15" s="668"/>
      <c r="G15" s="668"/>
      <c r="H15" s="668"/>
      <c r="I15" s="668"/>
      <c r="J15" s="668"/>
      <c r="K15" s="668"/>
      <c r="L15" s="668"/>
    </row>
    <row r="16" spans="1:51" s="194" customFormat="1">
      <c r="A16" s="192"/>
      <c r="B16" s="192"/>
      <c r="C16" s="192"/>
      <c r="D16" s="192"/>
      <c r="E16" s="192"/>
      <c r="F16" s="192"/>
      <c r="G16" s="192"/>
      <c r="H16" s="192"/>
      <c r="I16" s="192"/>
      <c r="J16" s="192"/>
      <c r="K16" s="192"/>
      <c r="L16" s="192"/>
    </row>
    <row r="17" spans="1:12" s="194" customFormat="1" ht="15.6">
      <c r="A17" s="232" t="s">
        <v>1629</v>
      </c>
      <c r="B17" s="232" t="s">
        <v>1771</v>
      </c>
      <c r="C17" s="232" t="s">
        <v>1631</v>
      </c>
      <c r="D17" s="233" t="s">
        <v>1632</v>
      </c>
      <c r="E17" s="234"/>
      <c r="F17" s="235"/>
      <c r="G17" s="235"/>
      <c r="H17" s="235"/>
      <c r="I17" s="235"/>
      <c r="J17" s="235"/>
      <c r="K17" s="235"/>
      <c r="L17" s="235"/>
    </row>
    <row r="18" spans="1:12" s="194" customFormat="1">
      <c r="A18" s="699" t="s">
        <v>1773</v>
      </c>
      <c r="B18" s="699" t="s">
        <v>1773</v>
      </c>
      <c r="C18" s="233" t="s">
        <v>1703</v>
      </c>
      <c r="D18" s="236">
        <v>0.15311</v>
      </c>
      <c r="E18" s="237"/>
      <c r="F18" s="235"/>
      <c r="G18" s="235"/>
      <c r="H18" s="235"/>
      <c r="I18" s="235"/>
      <c r="J18" s="235"/>
      <c r="K18" s="235"/>
      <c r="L18" s="235"/>
    </row>
    <row r="19" spans="1:12" s="194" customFormat="1">
      <c r="A19" s="699"/>
      <c r="B19" s="699"/>
      <c r="C19" s="233" t="s">
        <v>1772</v>
      </c>
      <c r="D19" s="236">
        <v>153.10865000000001</v>
      </c>
      <c r="E19" s="235"/>
      <c r="F19" s="235"/>
      <c r="G19" s="235"/>
      <c r="H19" s="235"/>
      <c r="I19" s="235"/>
      <c r="J19" s="235"/>
      <c r="K19" s="235"/>
      <c r="L19" s="235"/>
    </row>
    <row r="20" spans="1:12" s="194" customFormat="1">
      <c r="A20" s="235"/>
      <c r="B20" s="235"/>
      <c r="C20" s="235"/>
      <c r="D20" s="235"/>
      <c r="E20" s="235"/>
      <c r="F20" s="235"/>
      <c r="G20" s="235"/>
      <c r="H20" s="235"/>
      <c r="I20" s="235"/>
      <c r="J20" s="235"/>
      <c r="K20" s="235"/>
      <c r="L20" s="235"/>
    </row>
    <row r="21" spans="1:12" s="194" customFormat="1">
      <c r="A21" s="238"/>
      <c r="B21" s="238"/>
      <c r="C21" s="238"/>
      <c r="D21" s="238"/>
      <c r="E21" s="238"/>
      <c r="F21" s="238"/>
      <c r="G21" s="238"/>
      <c r="H21" s="238"/>
      <c r="I21" s="238"/>
      <c r="J21" s="238"/>
      <c r="K21" s="238"/>
      <c r="L21" s="238"/>
    </row>
    <row r="22" spans="1:12" s="167" customFormat="1">
      <c r="A22" s="191"/>
      <c r="B22" s="191"/>
      <c r="C22" s="191"/>
      <c r="D22" s="191"/>
      <c r="E22" s="191"/>
      <c r="F22" s="191"/>
      <c r="G22" s="191"/>
      <c r="H22" s="191"/>
      <c r="I22" s="191"/>
      <c r="J22" s="191"/>
      <c r="K22" s="191"/>
      <c r="L22" s="191"/>
    </row>
    <row r="23" spans="1:12" s="167" customFormat="1">
      <c r="A23" s="671" t="s">
        <v>1764</v>
      </c>
      <c r="B23" s="671"/>
      <c r="C23" s="671"/>
      <c r="D23" s="671"/>
      <c r="E23" s="671"/>
      <c r="F23" s="671"/>
      <c r="G23" s="671"/>
      <c r="H23" s="671"/>
      <c r="I23" s="671"/>
      <c r="J23" s="671"/>
      <c r="K23" s="671"/>
      <c r="L23" s="671"/>
    </row>
    <row r="24" spans="1:12" s="167" customFormat="1"/>
    <row r="25" spans="1:12" s="167" customFormat="1"/>
    <row r="26" spans="1:12" s="167" customFormat="1"/>
    <row r="27" spans="1:12" s="167" customFormat="1"/>
    <row r="28" spans="1:12" s="167" customFormat="1"/>
    <row r="29" spans="1:12" s="167" customFormat="1"/>
    <row r="30" spans="1:12" s="167" customFormat="1"/>
    <row r="31" spans="1:12" s="167" customFormat="1"/>
    <row r="32" spans="1:12" s="167" customFormat="1"/>
    <row r="33" s="167" customFormat="1"/>
    <row r="34" s="167" customFormat="1"/>
    <row r="35" s="167" customFormat="1"/>
    <row r="36" s="167" customFormat="1"/>
    <row r="37" s="167" customFormat="1"/>
    <row r="38" s="167" customFormat="1"/>
  </sheetData>
  <sheetProtection algorithmName="SHA-512" hashValue="m05HWQJ8LuA8D24Io2AI1hWWLXDGkITso0RZ+QqW53BzKETSV9EJDrE4zZIkWlWgPMoix4eRLtX8UoZVeLixIA==" saltValue="+ZAc7gbxB8U+kTR4KE20eA==" spinCount="100000" sheet="1" objects="1" scenarios="1" autoFilter="0"/>
  <mergeCells count="11">
    <mergeCell ref="A14:L14"/>
    <mergeCell ref="A15:L15"/>
    <mergeCell ref="A18:A19"/>
    <mergeCell ref="B18:B19"/>
    <mergeCell ref="A23:L23"/>
    <mergeCell ref="A13:L13"/>
    <mergeCell ref="A8:L8"/>
    <mergeCell ref="A9:L9"/>
    <mergeCell ref="A10:L10"/>
    <mergeCell ref="A11:L11"/>
    <mergeCell ref="A12:L12"/>
  </mergeCells>
  <hyperlinks>
    <hyperlink ref="A3" location="Index!A1" display="Index" xr:uid="{00000000-0004-0000-22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2200-000001000000}"/>
  </hyperlinks>
  <pageMargins left="0.7" right="0.7" top="0.75" bottom="0.75" header="0.3" footer="0.3"/>
  <pageSetup paperSize="9" scale="22"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7307-5EEA-49DF-B59A-2ACCDD97A957}">
  <sheetPr>
    <tabColor theme="6" tint="0.79998168889431442"/>
  </sheetPr>
  <dimension ref="A1:AA142"/>
  <sheetViews>
    <sheetView workbookViewId="0"/>
  </sheetViews>
  <sheetFormatPr baseColWidth="10" defaultColWidth="11.33203125" defaultRowHeight="14.4"/>
  <cols>
    <col min="1" max="1" width="30.6640625" style="168" customWidth="1"/>
    <col min="2" max="2" width="26.6640625" style="168" customWidth="1"/>
    <col min="3" max="3" width="18.6640625" style="168" customWidth="1"/>
    <col min="4" max="4" width="13.44140625" style="168" customWidth="1"/>
    <col min="5" max="5" width="37.5546875" style="168" customWidth="1"/>
    <col min="6" max="6" width="17.5546875" style="168" customWidth="1"/>
    <col min="7" max="12" width="13.44140625" style="168" customWidth="1"/>
    <col min="13" max="27" width="13.44140625" style="167" customWidth="1"/>
    <col min="28" max="16384" width="11.33203125" style="168"/>
  </cols>
  <sheetData>
    <row r="1" spans="1:12" s="164" customFormat="1" ht="10.199999999999999">
      <c r="A1" s="164" t="s">
        <v>1606</v>
      </c>
    </row>
    <row r="2" spans="1:12" ht="21">
      <c r="A2" s="165" t="s">
        <v>1779</v>
      </c>
      <c r="B2" s="165"/>
      <c r="C2" s="165"/>
      <c r="D2" s="165"/>
      <c r="E2" s="165"/>
      <c r="F2" s="165"/>
      <c r="G2" s="167"/>
      <c r="H2" s="167"/>
      <c r="I2" s="167"/>
      <c r="J2" s="167"/>
      <c r="K2" s="167"/>
      <c r="L2" s="167"/>
    </row>
    <row r="3" spans="1:12">
      <c r="A3" s="169" t="s">
        <v>1608</v>
      </c>
      <c r="B3" s="167"/>
      <c r="C3" s="167"/>
      <c r="D3" s="167"/>
      <c r="E3" s="167"/>
      <c r="F3" s="167"/>
      <c r="G3" s="167"/>
      <c r="H3" s="167"/>
      <c r="I3" s="167"/>
      <c r="J3" s="167"/>
      <c r="K3" s="167"/>
      <c r="L3" s="167"/>
    </row>
    <row r="4" spans="1:12" s="174" customFormat="1" ht="7.2" thickBot="1"/>
    <row r="5" spans="1:12" ht="15" thickTop="1">
      <c r="A5" s="177" t="s">
        <v>1609</v>
      </c>
      <c r="B5" s="178" t="s">
        <v>1779</v>
      </c>
      <c r="C5" s="177" t="s">
        <v>1610</v>
      </c>
      <c r="D5" s="179">
        <v>45818</v>
      </c>
      <c r="E5" s="207" t="s">
        <v>1611</v>
      </c>
      <c r="F5" s="179" t="s">
        <v>1612</v>
      </c>
      <c r="G5" s="167"/>
      <c r="H5" s="167"/>
      <c r="I5" s="167"/>
      <c r="J5" s="167"/>
      <c r="K5" s="167"/>
      <c r="L5" s="167"/>
    </row>
    <row r="6" spans="1:12" ht="15" thickBot="1">
      <c r="A6" s="182" t="s">
        <v>1613</v>
      </c>
      <c r="B6" s="183" t="s">
        <v>1614</v>
      </c>
      <c r="C6" s="184" t="s">
        <v>1615</v>
      </c>
      <c r="D6" s="231">
        <v>1.1000000000000001</v>
      </c>
      <c r="E6" s="184" t="s">
        <v>1616</v>
      </c>
      <c r="F6" s="209">
        <v>2024</v>
      </c>
      <c r="G6" s="167"/>
      <c r="H6" s="167"/>
      <c r="I6" s="167"/>
      <c r="J6" s="167"/>
      <c r="K6" s="167"/>
      <c r="L6" s="167"/>
    </row>
    <row r="7" spans="1:12" ht="15.6" thickTop="1" thickBot="1">
      <c r="A7" s="167"/>
      <c r="B7" s="167"/>
      <c r="C7" s="167"/>
      <c r="D7" s="167"/>
      <c r="E7" s="167"/>
      <c r="F7" s="167"/>
      <c r="G7" s="167"/>
      <c r="H7" s="167"/>
      <c r="I7" s="167"/>
      <c r="J7" s="167"/>
      <c r="K7" s="167"/>
      <c r="L7" s="167"/>
    </row>
    <row r="8" spans="1:12" ht="34.5" customHeight="1" thickTop="1" thickBot="1">
      <c r="A8" s="674" t="s">
        <v>1780</v>
      </c>
      <c r="B8" s="675"/>
      <c r="C8" s="675"/>
      <c r="D8" s="675"/>
      <c r="E8" s="675"/>
      <c r="F8" s="675"/>
      <c r="G8" s="675"/>
      <c r="H8" s="675"/>
      <c r="I8" s="675"/>
      <c r="J8" s="675"/>
      <c r="K8" s="675"/>
      <c r="L8" s="676"/>
    </row>
    <row r="9" spans="1:12" ht="15" customHeight="1" thickTop="1">
      <c r="A9" s="475"/>
      <c r="B9" s="475"/>
      <c r="C9" s="475"/>
      <c r="D9" s="475"/>
      <c r="E9" s="475"/>
      <c r="F9" s="475"/>
      <c r="G9" s="475"/>
      <c r="H9" s="475"/>
      <c r="I9" s="475"/>
      <c r="J9" s="475"/>
      <c r="K9" s="475"/>
      <c r="L9" s="475"/>
    </row>
    <row r="10" spans="1:12" s="167" customFormat="1" ht="15" customHeight="1">
      <c r="A10" s="476" t="s">
        <v>1618</v>
      </c>
      <c r="B10" s="476"/>
      <c r="C10" s="476"/>
      <c r="D10" s="476"/>
      <c r="E10" s="476"/>
      <c r="F10" s="476"/>
      <c r="G10" s="476"/>
      <c r="H10" s="476"/>
      <c r="I10" s="476"/>
      <c r="J10" s="476"/>
      <c r="K10" s="476"/>
      <c r="L10" s="476"/>
    </row>
    <row r="11" spans="1:12" s="167" customFormat="1" ht="20.85" customHeight="1">
      <c r="A11" s="705" t="s">
        <v>1781</v>
      </c>
      <c r="B11" s="705"/>
      <c r="C11" s="705"/>
      <c r="D11" s="705"/>
      <c r="E11" s="705"/>
      <c r="F11" s="705"/>
      <c r="G11" s="705"/>
      <c r="H11" s="705"/>
      <c r="I11" s="705"/>
      <c r="J11" s="705"/>
      <c r="K11" s="705"/>
      <c r="L11" s="705"/>
    </row>
    <row r="12" spans="1:12" s="167" customFormat="1" ht="19.350000000000001" customHeight="1">
      <c r="A12" s="668" t="s">
        <v>1782</v>
      </c>
      <c r="B12" s="668"/>
      <c r="C12" s="668"/>
      <c r="D12" s="668"/>
      <c r="E12" s="668"/>
      <c r="F12" s="668"/>
      <c r="G12" s="668"/>
      <c r="H12" s="668"/>
      <c r="I12" s="668"/>
      <c r="J12" s="668"/>
      <c r="K12" s="668"/>
      <c r="L12" s="668"/>
    </row>
    <row r="13" spans="1:12" s="167" customFormat="1" ht="31.35" customHeight="1">
      <c r="A13" s="668" t="s">
        <v>1783</v>
      </c>
      <c r="B13" s="668"/>
      <c r="C13" s="668"/>
      <c r="D13" s="668"/>
      <c r="E13" s="668"/>
      <c r="F13" s="668"/>
      <c r="G13" s="668"/>
      <c r="H13" s="668"/>
      <c r="I13" s="668"/>
      <c r="J13" s="668"/>
      <c r="K13" s="668"/>
      <c r="L13" s="668"/>
    </row>
    <row r="14" spans="1:12" s="167" customFormat="1" ht="18" customHeight="1">
      <c r="A14" s="222"/>
      <c r="B14" s="222"/>
      <c r="C14" s="222"/>
      <c r="D14" s="222"/>
      <c r="E14" s="222"/>
      <c r="F14" s="222"/>
      <c r="G14" s="222"/>
      <c r="H14" s="222"/>
      <c r="I14" s="222"/>
      <c r="J14" s="222"/>
      <c r="K14" s="222"/>
      <c r="L14" s="222"/>
    </row>
    <row r="15" spans="1:12" s="167" customFormat="1" ht="26.25" customHeight="1">
      <c r="A15" s="669" t="s">
        <v>1784</v>
      </c>
      <c r="B15" s="669"/>
      <c r="C15" s="669"/>
      <c r="D15" s="669"/>
      <c r="E15" s="669"/>
      <c r="F15" s="669"/>
      <c r="G15" s="669"/>
      <c r="H15" s="669"/>
      <c r="I15" s="669"/>
      <c r="J15" s="669"/>
      <c r="K15" s="669"/>
      <c r="L15" s="669"/>
    </row>
    <row r="16" spans="1:12" s="167" customFormat="1" ht="15" customHeight="1">
      <c r="A16" s="668" t="s">
        <v>1785</v>
      </c>
      <c r="B16" s="668"/>
      <c r="C16" s="668"/>
      <c r="D16" s="668"/>
      <c r="E16" s="668"/>
      <c r="F16" s="668"/>
      <c r="G16" s="668"/>
      <c r="H16" s="668"/>
      <c r="I16" s="668"/>
      <c r="J16" s="668"/>
      <c r="K16" s="668"/>
      <c r="L16" s="668"/>
    </row>
    <row r="17" spans="1:27" s="167" customFormat="1" ht="22.35" customHeight="1">
      <c r="A17" s="668" t="s">
        <v>1786</v>
      </c>
      <c r="B17" s="668"/>
      <c r="C17" s="668"/>
      <c r="D17" s="668"/>
      <c r="E17" s="668"/>
      <c r="F17" s="668"/>
      <c r="G17" s="668"/>
      <c r="H17" s="668"/>
      <c r="I17" s="668"/>
      <c r="J17" s="668"/>
      <c r="K17" s="668"/>
      <c r="L17" s="668"/>
    </row>
    <row r="18" spans="1:27" s="194" customFormat="1" ht="35.1" customHeight="1">
      <c r="A18" s="668" t="s">
        <v>1787</v>
      </c>
      <c r="B18" s="668"/>
      <c r="C18" s="668"/>
      <c r="D18" s="668"/>
      <c r="E18" s="668"/>
      <c r="F18" s="668"/>
      <c r="G18" s="668"/>
      <c r="H18" s="668"/>
      <c r="I18" s="668"/>
      <c r="J18" s="668"/>
      <c r="K18" s="668"/>
      <c r="L18" s="668"/>
    </row>
    <row r="19" spans="1:27" s="194" customFormat="1" ht="6.6" customHeight="1">
      <c r="A19" s="192"/>
      <c r="B19" s="192"/>
      <c r="C19" s="192"/>
      <c r="D19" s="192"/>
      <c r="E19" s="192"/>
      <c r="F19" s="192"/>
      <c r="G19" s="192"/>
      <c r="H19" s="192"/>
      <c r="I19" s="192"/>
      <c r="J19" s="192"/>
      <c r="K19" s="192"/>
      <c r="L19" s="192"/>
    </row>
    <row r="20" spans="1:27" s="194" customFormat="1" ht="15" customHeight="1">
      <c r="A20" s="192"/>
      <c r="B20" s="192"/>
      <c r="C20" s="192"/>
      <c r="D20" s="192"/>
      <c r="E20" s="477"/>
      <c r="F20" s="192"/>
      <c r="G20" s="192"/>
      <c r="H20" s="192"/>
      <c r="I20" s="192"/>
      <c r="J20" s="192"/>
      <c r="K20" s="192"/>
      <c r="L20" s="192"/>
    </row>
    <row r="21" spans="1:27" s="239" customFormat="1" ht="15.6">
      <c r="A21" s="196" t="s">
        <v>1629</v>
      </c>
      <c r="B21" s="196" t="s">
        <v>1788</v>
      </c>
      <c r="C21" s="196" t="s">
        <v>1631</v>
      </c>
      <c r="D21" s="478" t="s">
        <v>1632</v>
      </c>
      <c r="E21" s="194"/>
      <c r="F21" s="192"/>
      <c r="G21" s="192"/>
      <c r="H21" s="194"/>
      <c r="I21" s="194"/>
      <c r="J21" s="194"/>
      <c r="K21" s="194"/>
      <c r="L21" s="194"/>
      <c r="M21" s="194"/>
      <c r="N21" s="194"/>
      <c r="P21" s="194"/>
      <c r="Q21" s="194"/>
      <c r="R21" s="194"/>
      <c r="S21" s="194"/>
      <c r="T21" s="194"/>
      <c r="U21" s="194"/>
      <c r="V21" s="194"/>
      <c r="W21" s="194"/>
      <c r="X21" s="194"/>
      <c r="Y21" s="194"/>
      <c r="Z21" s="194"/>
      <c r="AA21" s="194"/>
    </row>
    <row r="22" spans="1:27" s="239" customFormat="1">
      <c r="A22" s="706" t="s">
        <v>1779</v>
      </c>
      <c r="B22" s="230" t="s">
        <v>1789</v>
      </c>
      <c r="C22" s="198" t="s">
        <v>1790</v>
      </c>
      <c r="D22" s="225">
        <v>10.4</v>
      </c>
      <c r="E22" s="215"/>
      <c r="F22" s="192"/>
      <c r="G22" s="192"/>
      <c r="H22" s="479"/>
      <c r="I22" s="479"/>
      <c r="J22" s="479"/>
      <c r="K22" s="479"/>
      <c r="L22" s="479"/>
      <c r="M22" s="479"/>
      <c r="N22" s="479"/>
      <c r="P22" s="194"/>
      <c r="Q22" s="194"/>
      <c r="R22" s="194"/>
      <c r="S22" s="194"/>
      <c r="T22" s="194"/>
      <c r="U22" s="194"/>
      <c r="V22" s="194"/>
      <c r="W22" s="194"/>
      <c r="X22" s="194"/>
      <c r="Y22" s="194"/>
      <c r="Z22" s="194"/>
      <c r="AA22" s="194"/>
    </row>
    <row r="23" spans="1:27" s="239" customFormat="1">
      <c r="A23" s="707"/>
      <c r="B23" s="230" t="s">
        <v>1791</v>
      </c>
      <c r="C23" s="198" t="s">
        <v>1790</v>
      </c>
      <c r="D23" s="225">
        <v>11.5</v>
      </c>
      <c r="E23" s="215"/>
      <c r="F23" s="192"/>
      <c r="G23" s="192"/>
      <c r="H23" s="479"/>
      <c r="I23" s="479"/>
      <c r="J23" s="479"/>
      <c r="K23" s="479"/>
      <c r="L23" s="479"/>
      <c r="M23" s="479"/>
      <c r="N23" s="479"/>
      <c r="P23" s="194"/>
      <c r="Q23" s="194"/>
      <c r="R23" s="194"/>
      <c r="S23" s="194"/>
      <c r="T23" s="194"/>
      <c r="U23" s="194"/>
      <c r="V23" s="194"/>
      <c r="W23" s="194"/>
      <c r="X23" s="194"/>
      <c r="Y23" s="194"/>
      <c r="Z23" s="194"/>
      <c r="AA23" s="194"/>
    </row>
    <row r="24" spans="1:27" s="194" customFormat="1">
      <c r="A24" s="480"/>
      <c r="B24" s="229"/>
      <c r="D24" s="479"/>
      <c r="E24" s="192"/>
      <c r="F24" s="192"/>
      <c r="G24" s="192"/>
      <c r="H24" s="479"/>
      <c r="I24" s="479"/>
      <c r="J24" s="479"/>
      <c r="K24" s="479"/>
      <c r="L24" s="479"/>
      <c r="M24" s="479"/>
      <c r="N24" s="479"/>
    </row>
    <row r="25" spans="1:27" s="194" customFormat="1">
      <c r="A25" s="480"/>
      <c r="B25" s="229"/>
      <c r="D25" s="479"/>
      <c r="E25" s="192"/>
      <c r="F25" s="192"/>
      <c r="G25" s="192"/>
      <c r="H25" s="479"/>
      <c r="I25" s="479"/>
      <c r="J25" s="479"/>
      <c r="K25" s="479"/>
      <c r="L25" s="479"/>
      <c r="M25" s="479"/>
      <c r="N25" s="479"/>
    </row>
    <row r="26" spans="1:27" s="194" customFormat="1">
      <c r="A26" s="480"/>
      <c r="B26" s="229"/>
      <c r="D26" s="479"/>
      <c r="E26" s="192"/>
      <c r="F26" s="192"/>
      <c r="G26" s="192"/>
      <c r="H26" s="479"/>
      <c r="I26" s="479"/>
      <c r="J26" s="479"/>
      <c r="K26" s="479"/>
      <c r="L26" s="479"/>
      <c r="M26" s="479"/>
      <c r="N26" s="479"/>
    </row>
    <row r="27" spans="1:27" s="194" customFormat="1" ht="15.6">
      <c r="A27" s="481" t="s">
        <v>1629</v>
      </c>
      <c r="B27" s="196" t="s">
        <v>1788</v>
      </c>
      <c r="C27" s="196" t="s">
        <v>1631</v>
      </c>
      <c r="D27" s="478" t="s">
        <v>1632</v>
      </c>
      <c r="E27" s="215"/>
      <c r="F27" s="192"/>
      <c r="G27" s="192"/>
      <c r="H27" s="479"/>
      <c r="I27" s="479"/>
      <c r="J27" s="479"/>
      <c r="K27" s="479"/>
      <c r="L27" s="479"/>
      <c r="M27" s="479"/>
      <c r="N27" s="479"/>
    </row>
    <row r="28" spans="1:27" s="194" customFormat="1">
      <c r="A28" s="708" t="s">
        <v>1779</v>
      </c>
      <c r="B28" s="482" t="s">
        <v>1792</v>
      </c>
      <c r="C28" s="198" t="s">
        <v>1790</v>
      </c>
      <c r="D28" s="227"/>
      <c r="E28" s="215"/>
      <c r="F28" s="192"/>
      <c r="G28" s="192"/>
      <c r="H28" s="479"/>
      <c r="I28" s="479"/>
      <c r="J28" s="479"/>
      <c r="K28" s="479"/>
      <c r="L28" s="479"/>
      <c r="M28" s="479"/>
      <c r="N28" s="479"/>
    </row>
    <row r="29" spans="1:27" s="194" customFormat="1">
      <c r="A29" s="709"/>
      <c r="B29" s="482" t="s">
        <v>1793</v>
      </c>
      <c r="C29" s="198" t="s">
        <v>1790</v>
      </c>
      <c r="D29" s="483">
        <v>35</v>
      </c>
      <c r="E29" s="215"/>
      <c r="F29" s="192"/>
      <c r="G29" s="192"/>
      <c r="H29" s="479"/>
      <c r="I29" s="479"/>
      <c r="J29" s="479"/>
      <c r="K29" s="479"/>
      <c r="L29" s="479"/>
      <c r="M29" s="479"/>
      <c r="N29" s="479"/>
    </row>
    <row r="30" spans="1:27" s="194" customFormat="1">
      <c r="A30" s="709"/>
      <c r="B30" s="482" t="s">
        <v>1794</v>
      </c>
      <c r="C30" s="198" t="s">
        <v>1790</v>
      </c>
      <c r="D30" s="227"/>
      <c r="E30" s="215"/>
      <c r="F30" s="192"/>
      <c r="G30" s="192"/>
      <c r="H30" s="479"/>
      <c r="I30" s="479"/>
      <c r="J30" s="479"/>
      <c r="K30" s="479"/>
      <c r="L30" s="479"/>
      <c r="M30" s="479"/>
      <c r="N30" s="479"/>
    </row>
    <row r="31" spans="1:27" s="194" customFormat="1">
      <c r="A31" s="709"/>
      <c r="B31" s="482" t="s">
        <v>1795</v>
      </c>
      <c r="C31" s="198" t="s">
        <v>1790</v>
      </c>
      <c r="D31" s="483">
        <v>12.2</v>
      </c>
      <c r="E31" s="215"/>
      <c r="F31" s="192"/>
      <c r="G31" s="192"/>
      <c r="H31" s="479"/>
      <c r="I31" s="479"/>
      <c r="J31" s="479"/>
      <c r="K31" s="479"/>
      <c r="L31" s="479"/>
      <c r="M31" s="479"/>
      <c r="N31" s="479"/>
    </row>
    <row r="32" spans="1:27" s="194" customFormat="1">
      <c r="A32" s="709"/>
      <c r="B32" s="482" t="s">
        <v>1796</v>
      </c>
      <c r="C32" s="198" t="s">
        <v>1790</v>
      </c>
      <c r="D32" s="483">
        <v>8.6999999999999993</v>
      </c>
      <c r="E32" s="215"/>
      <c r="F32" s="192"/>
      <c r="G32" s="192"/>
      <c r="H32" s="479"/>
      <c r="I32" s="479"/>
      <c r="J32" s="479"/>
      <c r="K32" s="479"/>
      <c r="L32" s="479"/>
      <c r="M32" s="479"/>
      <c r="N32" s="479"/>
    </row>
    <row r="33" spans="1:14" s="194" customFormat="1">
      <c r="A33" s="709"/>
      <c r="B33" s="482" t="s">
        <v>1797</v>
      </c>
      <c r="C33" s="198" t="s">
        <v>1790</v>
      </c>
      <c r="D33" s="483">
        <v>7.4</v>
      </c>
      <c r="E33" s="215"/>
      <c r="F33" s="192"/>
      <c r="G33" s="192"/>
      <c r="H33" s="479"/>
      <c r="I33" s="479"/>
      <c r="J33" s="479"/>
      <c r="K33" s="479"/>
      <c r="L33" s="479"/>
      <c r="M33" s="479"/>
      <c r="N33" s="479"/>
    </row>
    <row r="34" spans="1:14" s="194" customFormat="1">
      <c r="A34" s="709"/>
      <c r="B34" s="482" t="s">
        <v>1798</v>
      </c>
      <c r="C34" s="198" t="s">
        <v>1790</v>
      </c>
      <c r="D34" s="483">
        <v>27.6</v>
      </c>
      <c r="E34" s="215"/>
      <c r="F34" s="192"/>
      <c r="G34" s="192"/>
      <c r="H34" s="479"/>
      <c r="I34" s="479"/>
      <c r="J34" s="479"/>
      <c r="K34" s="479"/>
      <c r="L34" s="479"/>
      <c r="M34" s="479"/>
      <c r="N34" s="479"/>
    </row>
    <row r="35" spans="1:14" s="194" customFormat="1">
      <c r="A35" s="709"/>
      <c r="B35" s="482" t="s">
        <v>1799</v>
      </c>
      <c r="C35" s="198" t="s">
        <v>1790</v>
      </c>
      <c r="D35" s="483">
        <v>53.5</v>
      </c>
      <c r="E35" s="215"/>
      <c r="F35" s="192"/>
      <c r="G35" s="192"/>
      <c r="H35" s="479"/>
      <c r="I35" s="479"/>
      <c r="J35" s="479"/>
      <c r="K35" s="479"/>
      <c r="L35" s="479"/>
      <c r="M35" s="479"/>
      <c r="N35" s="479"/>
    </row>
    <row r="36" spans="1:14" s="194" customFormat="1">
      <c r="A36" s="709"/>
      <c r="B36" s="482" t="s">
        <v>1800</v>
      </c>
      <c r="C36" s="198" t="s">
        <v>1790</v>
      </c>
      <c r="D36" s="483">
        <v>14.7</v>
      </c>
      <c r="E36" s="215"/>
      <c r="F36" s="192"/>
      <c r="G36" s="192"/>
      <c r="H36" s="479"/>
      <c r="I36" s="479"/>
      <c r="J36" s="479"/>
      <c r="K36" s="479"/>
      <c r="L36" s="479"/>
      <c r="M36" s="479"/>
      <c r="N36" s="479"/>
    </row>
    <row r="37" spans="1:14" s="194" customFormat="1">
      <c r="A37" s="709"/>
      <c r="B37" s="482" t="s">
        <v>1801</v>
      </c>
      <c r="C37" s="198" t="s">
        <v>1790</v>
      </c>
      <c r="D37" s="483">
        <v>4.7</v>
      </c>
      <c r="E37" s="215"/>
      <c r="F37" s="192"/>
      <c r="G37" s="192"/>
      <c r="H37" s="479"/>
      <c r="I37" s="479"/>
      <c r="J37" s="479"/>
      <c r="K37" s="479"/>
      <c r="L37" s="479"/>
      <c r="M37" s="479"/>
      <c r="N37" s="479"/>
    </row>
    <row r="38" spans="1:14" s="194" customFormat="1">
      <c r="A38" s="709"/>
      <c r="B38" s="482" t="s">
        <v>1802</v>
      </c>
      <c r="C38" s="198" t="s">
        <v>1790</v>
      </c>
      <c r="D38" s="227"/>
      <c r="E38" s="215"/>
      <c r="F38" s="192"/>
      <c r="G38" s="192"/>
      <c r="H38" s="479"/>
      <c r="I38" s="479"/>
      <c r="J38" s="479"/>
      <c r="K38" s="479"/>
      <c r="L38" s="479"/>
      <c r="M38" s="479"/>
      <c r="N38" s="479"/>
    </row>
    <row r="39" spans="1:14" s="194" customFormat="1">
      <c r="A39" s="709"/>
      <c r="B39" s="482" t="s">
        <v>1803</v>
      </c>
      <c r="C39" s="198" t="s">
        <v>1790</v>
      </c>
      <c r="D39" s="483">
        <v>44.2</v>
      </c>
      <c r="E39" s="215"/>
      <c r="F39" s="192"/>
      <c r="G39" s="192"/>
      <c r="H39" s="479"/>
      <c r="I39" s="479"/>
      <c r="J39" s="479"/>
      <c r="K39" s="479"/>
      <c r="L39" s="479"/>
      <c r="M39" s="479"/>
      <c r="N39" s="479"/>
    </row>
    <row r="40" spans="1:14" s="194" customFormat="1">
      <c r="A40" s="709"/>
      <c r="B40" s="482" t="s">
        <v>1804</v>
      </c>
      <c r="C40" s="198" t="s">
        <v>1790</v>
      </c>
      <c r="D40" s="227"/>
      <c r="E40" s="215"/>
      <c r="F40" s="192"/>
      <c r="G40" s="192"/>
      <c r="H40" s="479"/>
      <c r="I40" s="479"/>
      <c r="J40" s="479"/>
      <c r="K40" s="479"/>
      <c r="L40" s="479"/>
      <c r="M40" s="479"/>
      <c r="N40" s="479"/>
    </row>
    <row r="41" spans="1:14" s="194" customFormat="1">
      <c r="A41" s="709"/>
      <c r="B41" s="482" t="s">
        <v>1805</v>
      </c>
      <c r="C41" s="198" t="s">
        <v>1790</v>
      </c>
      <c r="D41" s="227"/>
      <c r="E41" s="215"/>
      <c r="F41" s="192"/>
      <c r="G41" s="192"/>
      <c r="H41" s="479"/>
      <c r="I41" s="479"/>
      <c r="J41" s="479"/>
      <c r="K41" s="479"/>
      <c r="L41" s="479"/>
      <c r="M41" s="479"/>
      <c r="N41" s="479"/>
    </row>
    <row r="42" spans="1:14" s="194" customFormat="1">
      <c r="A42" s="709"/>
      <c r="B42" s="482" t="s">
        <v>1806</v>
      </c>
      <c r="C42" s="198" t="s">
        <v>1790</v>
      </c>
      <c r="D42" s="483">
        <v>6.7</v>
      </c>
      <c r="E42" s="215"/>
      <c r="F42" s="192"/>
      <c r="G42" s="192"/>
      <c r="H42" s="479"/>
      <c r="I42" s="479"/>
      <c r="J42" s="479"/>
      <c r="K42" s="479"/>
      <c r="L42" s="479"/>
      <c r="M42" s="479"/>
      <c r="N42" s="479"/>
    </row>
    <row r="43" spans="1:14" s="194" customFormat="1">
      <c r="A43" s="709"/>
      <c r="B43" s="482" t="s">
        <v>1807</v>
      </c>
      <c r="C43" s="198" t="s">
        <v>1790</v>
      </c>
      <c r="D43" s="483">
        <v>13.2</v>
      </c>
      <c r="E43" s="215"/>
      <c r="F43" s="192"/>
      <c r="G43" s="192"/>
      <c r="H43" s="479"/>
      <c r="I43" s="479"/>
      <c r="J43" s="479"/>
      <c r="K43" s="479"/>
      <c r="L43" s="479"/>
      <c r="M43" s="479"/>
      <c r="N43" s="479"/>
    </row>
    <row r="44" spans="1:14" s="194" customFormat="1">
      <c r="A44" s="709"/>
      <c r="B44" s="482" t="s">
        <v>1808</v>
      </c>
      <c r="C44" s="198" t="s">
        <v>1790</v>
      </c>
      <c r="D44" s="227"/>
      <c r="E44" s="215"/>
      <c r="F44" s="192"/>
      <c r="G44" s="192"/>
      <c r="H44" s="479"/>
      <c r="I44" s="479"/>
      <c r="J44" s="479"/>
      <c r="K44" s="479"/>
      <c r="L44" s="479"/>
      <c r="M44" s="479"/>
      <c r="N44" s="479"/>
    </row>
    <row r="45" spans="1:14" s="194" customFormat="1">
      <c r="A45" s="709"/>
      <c r="B45" s="482" t="s">
        <v>1809</v>
      </c>
      <c r="C45" s="198" t="s">
        <v>1790</v>
      </c>
      <c r="D45" s="483">
        <v>51.5</v>
      </c>
      <c r="E45" s="215"/>
      <c r="F45" s="192"/>
      <c r="G45" s="192"/>
      <c r="H45" s="479"/>
      <c r="I45" s="479"/>
      <c r="J45" s="479"/>
      <c r="K45" s="479"/>
      <c r="L45" s="479"/>
      <c r="M45" s="479"/>
      <c r="N45" s="479"/>
    </row>
    <row r="46" spans="1:14" s="194" customFormat="1">
      <c r="A46" s="709"/>
      <c r="B46" s="482" t="s">
        <v>1810</v>
      </c>
      <c r="C46" s="198" t="s">
        <v>1790</v>
      </c>
      <c r="D46" s="483">
        <v>58.9</v>
      </c>
      <c r="E46" s="215"/>
      <c r="F46" s="192"/>
      <c r="G46" s="192"/>
      <c r="H46" s="479"/>
      <c r="I46" s="479"/>
      <c r="J46" s="479"/>
      <c r="K46" s="479"/>
      <c r="L46" s="479"/>
      <c r="M46" s="479"/>
      <c r="N46" s="479"/>
    </row>
    <row r="47" spans="1:14" s="194" customFormat="1">
      <c r="A47" s="709"/>
      <c r="B47" s="482" t="s">
        <v>1811</v>
      </c>
      <c r="C47" s="198" t="s">
        <v>1790</v>
      </c>
      <c r="D47" s="483">
        <v>62.7</v>
      </c>
      <c r="E47" s="215"/>
      <c r="F47" s="192"/>
      <c r="G47" s="192" t="s">
        <v>737</v>
      </c>
      <c r="H47" s="479"/>
      <c r="I47" s="479"/>
      <c r="J47" s="479"/>
      <c r="K47" s="479"/>
      <c r="L47" s="479"/>
      <c r="M47" s="479"/>
      <c r="N47" s="479"/>
    </row>
    <row r="48" spans="1:14" s="194" customFormat="1">
      <c r="A48" s="709"/>
      <c r="B48" s="482" t="s">
        <v>1812</v>
      </c>
      <c r="C48" s="198" t="s">
        <v>1790</v>
      </c>
      <c r="D48" s="227"/>
      <c r="E48" s="215"/>
      <c r="F48" s="192"/>
      <c r="G48" s="192"/>
      <c r="H48" s="479"/>
      <c r="I48" s="479"/>
      <c r="J48" s="479"/>
      <c r="K48" s="479"/>
      <c r="L48" s="479"/>
      <c r="M48" s="479"/>
      <c r="N48" s="479"/>
    </row>
    <row r="49" spans="1:14" s="194" customFormat="1">
      <c r="A49" s="709"/>
      <c r="B49" s="482" t="s">
        <v>1813</v>
      </c>
      <c r="C49" s="198" t="s">
        <v>1790</v>
      </c>
      <c r="D49" s="227"/>
      <c r="E49" s="215"/>
      <c r="F49" s="192"/>
      <c r="G49" s="192"/>
      <c r="H49" s="479"/>
      <c r="I49" s="479"/>
      <c r="J49" s="479"/>
      <c r="K49" s="479"/>
      <c r="L49" s="479"/>
      <c r="M49" s="479"/>
      <c r="N49" s="479"/>
    </row>
    <row r="50" spans="1:14" s="194" customFormat="1">
      <c r="A50" s="709"/>
      <c r="B50" s="482" t="s">
        <v>1814</v>
      </c>
      <c r="C50" s="198" t="s">
        <v>1790</v>
      </c>
      <c r="D50" s="483">
        <v>14.3</v>
      </c>
      <c r="E50" s="215"/>
      <c r="F50" s="192"/>
      <c r="G50" s="192"/>
      <c r="H50" s="479"/>
      <c r="I50" s="479"/>
      <c r="J50" s="479"/>
      <c r="K50" s="479"/>
      <c r="L50" s="479"/>
      <c r="M50" s="479"/>
      <c r="N50" s="479"/>
    </row>
    <row r="51" spans="1:14" s="194" customFormat="1">
      <c r="A51" s="709"/>
      <c r="B51" s="482" t="s">
        <v>1815</v>
      </c>
      <c r="C51" s="198" t="s">
        <v>1790</v>
      </c>
      <c r="D51" s="483">
        <v>39</v>
      </c>
      <c r="E51" s="215"/>
      <c r="F51" s="192"/>
      <c r="G51" s="192"/>
      <c r="H51" s="479"/>
      <c r="I51" s="479"/>
      <c r="J51" s="479"/>
      <c r="K51" s="479"/>
      <c r="L51" s="479"/>
      <c r="M51" s="479"/>
      <c r="N51" s="479"/>
    </row>
    <row r="52" spans="1:14" s="194" customFormat="1">
      <c r="A52" s="709"/>
      <c r="B52" s="482" t="s">
        <v>1816</v>
      </c>
      <c r="C52" s="198" t="s">
        <v>1790</v>
      </c>
      <c r="D52" s="483">
        <v>68.900000000000006</v>
      </c>
      <c r="E52" s="215"/>
      <c r="F52" s="192"/>
      <c r="G52" s="192"/>
      <c r="H52" s="479"/>
      <c r="I52" s="479"/>
      <c r="J52" s="479"/>
      <c r="K52" s="479"/>
      <c r="L52" s="479"/>
      <c r="M52" s="479"/>
      <c r="N52" s="479"/>
    </row>
    <row r="53" spans="1:14" s="194" customFormat="1">
      <c r="A53" s="709"/>
      <c r="B53" s="482" t="s">
        <v>1817</v>
      </c>
      <c r="C53" s="198" t="s">
        <v>1790</v>
      </c>
      <c r="D53" s="227"/>
      <c r="E53" s="215"/>
      <c r="F53" s="192"/>
      <c r="G53" s="192"/>
      <c r="H53" s="479"/>
      <c r="I53" s="479"/>
      <c r="J53" s="479"/>
      <c r="K53" s="479"/>
      <c r="L53" s="479"/>
      <c r="M53" s="479"/>
      <c r="N53" s="479"/>
    </row>
    <row r="54" spans="1:14" s="194" customFormat="1">
      <c r="A54" s="709"/>
      <c r="B54" s="482" t="s">
        <v>1818</v>
      </c>
      <c r="C54" s="198" t="s">
        <v>1790</v>
      </c>
      <c r="D54" s="483">
        <v>55.8</v>
      </c>
      <c r="E54" s="215"/>
      <c r="F54" s="192"/>
      <c r="G54" s="192"/>
      <c r="H54" s="479"/>
      <c r="I54" s="479"/>
      <c r="J54" s="479"/>
      <c r="K54" s="479"/>
      <c r="L54" s="479"/>
      <c r="M54" s="479"/>
      <c r="N54" s="479"/>
    </row>
    <row r="55" spans="1:14" s="194" customFormat="1">
      <c r="A55" s="709"/>
      <c r="B55" s="482" t="s">
        <v>1819</v>
      </c>
      <c r="C55" s="198" t="s">
        <v>1790</v>
      </c>
      <c r="D55" s="227"/>
      <c r="E55" s="215"/>
      <c r="F55" s="192"/>
      <c r="G55" s="192"/>
      <c r="H55" s="479"/>
      <c r="I55" s="479"/>
      <c r="J55" s="479"/>
      <c r="K55" s="479"/>
      <c r="L55" s="479"/>
      <c r="M55" s="479"/>
      <c r="N55" s="479"/>
    </row>
    <row r="56" spans="1:14" s="194" customFormat="1">
      <c r="A56" s="709"/>
      <c r="B56" s="482" t="s">
        <v>1820</v>
      </c>
      <c r="C56" s="198" t="s">
        <v>1790</v>
      </c>
      <c r="D56" s="483">
        <v>61.5</v>
      </c>
      <c r="E56" s="215"/>
      <c r="F56" s="192"/>
      <c r="G56" s="192"/>
      <c r="H56" s="479"/>
      <c r="I56" s="479"/>
      <c r="J56" s="479"/>
      <c r="K56" s="479"/>
      <c r="L56" s="479"/>
      <c r="M56" s="479"/>
      <c r="N56" s="479"/>
    </row>
    <row r="57" spans="1:14" s="194" customFormat="1">
      <c r="A57" s="709"/>
      <c r="B57" s="482" t="s">
        <v>1821</v>
      </c>
      <c r="C57" s="198" t="s">
        <v>1790</v>
      </c>
      <c r="D57" s="483">
        <v>152.19999999999999</v>
      </c>
      <c r="E57" s="215"/>
      <c r="F57" s="192"/>
      <c r="G57" s="192"/>
      <c r="H57" s="479"/>
      <c r="I57" s="479"/>
      <c r="J57" s="479"/>
      <c r="K57" s="479"/>
      <c r="L57" s="479"/>
      <c r="M57" s="479"/>
      <c r="N57" s="479"/>
    </row>
    <row r="58" spans="1:14" s="194" customFormat="1">
      <c r="A58" s="709"/>
      <c r="B58" s="482" t="s">
        <v>1822</v>
      </c>
      <c r="C58" s="198" t="s">
        <v>1790</v>
      </c>
      <c r="D58" s="483">
        <v>19.3</v>
      </c>
      <c r="E58" s="215"/>
      <c r="F58" s="192"/>
      <c r="G58" s="192"/>
      <c r="H58" s="479"/>
      <c r="I58" s="479"/>
      <c r="J58" s="479"/>
      <c r="K58" s="479"/>
      <c r="L58" s="479"/>
      <c r="M58" s="479"/>
      <c r="N58" s="479"/>
    </row>
    <row r="59" spans="1:14" s="194" customFormat="1">
      <c r="A59" s="709"/>
      <c r="B59" s="482" t="s">
        <v>1823</v>
      </c>
      <c r="C59" s="198" t="s">
        <v>1790</v>
      </c>
      <c r="D59" s="483">
        <v>14.8</v>
      </c>
      <c r="E59" s="215"/>
      <c r="F59" s="192"/>
      <c r="G59" s="192"/>
      <c r="H59" s="479"/>
      <c r="I59" s="479"/>
      <c r="J59" s="479"/>
      <c r="K59" s="479"/>
      <c r="L59" s="479"/>
      <c r="M59" s="479"/>
      <c r="N59" s="479"/>
    </row>
    <row r="60" spans="1:14" s="194" customFormat="1">
      <c r="A60" s="709"/>
      <c r="B60" s="482" t="s">
        <v>1824</v>
      </c>
      <c r="C60" s="198" t="s">
        <v>1790</v>
      </c>
      <c r="D60" s="227"/>
      <c r="E60" s="215"/>
      <c r="F60" s="192"/>
      <c r="G60" s="192"/>
      <c r="H60" s="479"/>
      <c r="I60" s="479"/>
      <c r="J60" s="479"/>
      <c r="K60" s="479"/>
      <c r="L60" s="479"/>
      <c r="M60" s="479"/>
      <c r="N60" s="479"/>
    </row>
    <row r="61" spans="1:14" s="194" customFormat="1">
      <c r="A61" s="709"/>
      <c r="B61" s="482" t="s">
        <v>1825</v>
      </c>
      <c r="C61" s="198" t="s">
        <v>1790</v>
      </c>
      <c r="D61" s="483">
        <v>90.3</v>
      </c>
      <c r="E61" s="215"/>
      <c r="F61" s="192"/>
      <c r="G61" s="192"/>
      <c r="H61" s="479"/>
      <c r="I61" s="479"/>
      <c r="J61" s="479"/>
      <c r="K61" s="479"/>
      <c r="L61" s="479"/>
      <c r="M61" s="479"/>
      <c r="N61" s="479"/>
    </row>
    <row r="62" spans="1:14" s="194" customFormat="1">
      <c r="A62" s="709"/>
      <c r="B62" s="482" t="s">
        <v>1826</v>
      </c>
      <c r="C62" s="198" t="s">
        <v>1790</v>
      </c>
      <c r="D62" s="227"/>
      <c r="E62" s="215"/>
      <c r="F62" s="192"/>
      <c r="G62" s="192"/>
      <c r="H62" s="479"/>
      <c r="I62" s="479"/>
      <c r="J62" s="479"/>
      <c r="K62" s="479"/>
      <c r="L62" s="479"/>
      <c r="M62" s="479"/>
      <c r="N62" s="479"/>
    </row>
    <row r="63" spans="1:14" s="194" customFormat="1">
      <c r="A63" s="709"/>
      <c r="B63" s="482" t="s">
        <v>1827</v>
      </c>
      <c r="C63" s="198" t="s">
        <v>1790</v>
      </c>
      <c r="D63" s="227"/>
      <c r="E63" s="215"/>
      <c r="F63" s="192"/>
      <c r="G63" s="192"/>
      <c r="H63" s="479"/>
      <c r="I63" s="479"/>
      <c r="J63" s="479"/>
      <c r="K63" s="479"/>
      <c r="L63" s="479"/>
      <c r="M63" s="479"/>
      <c r="N63" s="479"/>
    </row>
    <row r="64" spans="1:14" s="194" customFormat="1">
      <c r="A64" s="709"/>
      <c r="B64" s="482" t="s">
        <v>1828</v>
      </c>
      <c r="C64" s="198" t="s">
        <v>1790</v>
      </c>
      <c r="D64" s="483">
        <v>54.3</v>
      </c>
      <c r="E64" s="215"/>
      <c r="F64" s="192"/>
      <c r="G64" s="192"/>
      <c r="H64" s="479"/>
      <c r="I64" s="479"/>
      <c r="J64" s="479"/>
      <c r="K64" s="479"/>
      <c r="L64" s="479"/>
      <c r="M64" s="479"/>
      <c r="N64" s="479"/>
    </row>
    <row r="65" spans="1:15" s="194" customFormat="1">
      <c r="A65" s="709"/>
      <c r="B65" s="482" t="s">
        <v>1829</v>
      </c>
      <c r="C65" s="198" t="s">
        <v>1790</v>
      </c>
      <c r="D65" s="227"/>
      <c r="E65" s="215"/>
      <c r="F65" s="192"/>
      <c r="G65" s="192"/>
      <c r="H65" s="479"/>
      <c r="I65" s="479"/>
      <c r="J65" s="479"/>
      <c r="K65" s="479"/>
      <c r="L65" s="479"/>
      <c r="M65" s="479"/>
      <c r="N65" s="479"/>
      <c r="O65" s="479"/>
    </row>
    <row r="66" spans="1:15" s="194" customFormat="1">
      <c r="A66" s="709"/>
      <c r="B66" s="482" t="s">
        <v>1830</v>
      </c>
      <c r="C66" s="198" t="s">
        <v>1790</v>
      </c>
      <c r="D66" s="483">
        <v>19</v>
      </c>
      <c r="E66" s="215"/>
      <c r="F66" s="192"/>
      <c r="G66" s="192"/>
      <c r="H66" s="479"/>
      <c r="I66" s="479"/>
      <c r="J66" s="479"/>
      <c r="K66" s="479"/>
      <c r="L66" s="479"/>
      <c r="M66" s="479"/>
      <c r="N66" s="479"/>
      <c r="O66" s="479"/>
    </row>
    <row r="67" spans="1:15" s="194" customFormat="1">
      <c r="A67" s="709"/>
      <c r="B67" s="482" t="s">
        <v>1831</v>
      </c>
      <c r="C67" s="198" t="s">
        <v>1790</v>
      </c>
      <c r="D67" s="483">
        <v>86.2</v>
      </c>
      <c r="E67" s="215"/>
      <c r="F67" s="192"/>
      <c r="G67" s="192"/>
      <c r="H67" s="479"/>
      <c r="I67" s="479"/>
      <c r="J67" s="479"/>
      <c r="K67" s="479"/>
      <c r="L67" s="479"/>
      <c r="M67" s="479"/>
      <c r="N67" s="479"/>
      <c r="O67" s="479"/>
    </row>
    <row r="68" spans="1:15" s="194" customFormat="1">
      <c r="A68" s="709"/>
      <c r="B68" s="482" t="s">
        <v>1832</v>
      </c>
      <c r="C68" s="198" t="s">
        <v>1790</v>
      </c>
      <c r="D68" s="227"/>
      <c r="E68" s="215"/>
      <c r="F68" s="192"/>
      <c r="G68" s="192"/>
      <c r="H68" s="479"/>
      <c r="I68" s="479"/>
      <c r="J68" s="479"/>
      <c r="K68" s="479"/>
      <c r="L68" s="479"/>
      <c r="M68" s="479"/>
      <c r="N68" s="479"/>
      <c r="O68" s="479"/>
    </row>
    <row r="69" spans="1:15" s="194" customFormat="1">
      <c r="A69" s="709"/>
      <c r="B69" s="482" t="s">
        <v>1833</v>
      </c>
      <c r="C69" s="198" t="s">
        <v>1790</v>
      </c>
      <c r="D69" s="483">
        <v>24.2</v>
      </c>
      <c r="E69" s="215"/>
      <c r="F69" s="192"/>
      <c r="G69" s="192"/>
      <c r="H69" s="479"/>
      <c r="I69" s="479"/>
      <c r="J69" s="479"/>
      <c r="K69" s="479"/>
      <c r="L69" s="479"/>
      <c r="M69" s="479"/>
      <c r="N69" s="479"/>
      <c r="O69" s="479"/>
    </row>
    <row r="70" spans="1:15" s="194" customFormat="1">
      <c r="A70" s="709"/>
      <c r="B70" s="482" t="s">
        <v>1834</v>
      </c>
      <c r="C70" s="198" t="s">
        <v>1790</v>
      </c>
      <c r="D70" s="483">
        <v>106.4</v>
      </c>
      <c r="E70" s="215"/>
      <c r="F70" s="192"/>
      <c r="G70" s="192"/>
      <c r="H70" s="479"/>
      <c r="I70" s="479"/>
      <c r="J70" s="479"/>
      <c r="K70" s="479"/>
      <c r="L70" s="479"/>
      <c r="M70" s="479"/>
      <c r="N70" s="479"/>
      <c r="O70" s="479"/>
    </row>
    <row r="71" spans="1:15" s="194" customFormat="1">
      <c r="A71" s="709"/>
      <c r="B71" s="482" t="s">
        <v>1835</v>
      </c>
      <c r="C71" s="198" t="s">
        <v>1790</v>
      </c>
      <c r="D71" s="483">
        <v>24.5</v>
      </c>
      <c r="E71" s="215"/>
      <c r="F71" s="192"/>
      <c r="G71" s="192"/>
      <c r="H71" s="479"/>
      <c r="I71" s="479"/>
      <c r="J71" s="479"/>
      <c r="K71" s="479"/>
      <c r="L71" s="479"/>
      <c r="M71" s="479"/>
      <c r="N71" s="479"/>
      <c r="O71" s="479"/>
    </row>
    <row r="72" spans="1:15" s="194" customFormat="1">
      <c r="A72" s="709"/>
      <c r="B72" s="482" t="s">
        <v>1836</v>
      </c>
      <c r="C72" s="198" t="s">
        <v>1790</v>
      </c>
      <c r="D72" s="483">
        <v>51.4</v>
      </c>
      <c r="E72" s="215"/>
      <c r="F72" s="192"/>
      <c r="G72" s="192"/>
      <c r="H72" s="479"/>
      <c r="I72" s="479"/>
      <c r="J72" s="479"/>
      <c r="K72" s="479"/>
      <c r="L72" s="479"/>
      <c r="M72" s="479"/>
      <c r="N72" s="479"/>
      <c r="O72" s="479"/>
    </row>
    <row r="73" spans="1:15" s="194" customFormat="1">
      <c r="A73" s="709"/>
      <c r="B73" s="482" t="s">
        <v>1837</v>
      </c>
      <c r="C73" s="198" t="s">
        <v>1790</v>
      </c>
      <c r="D73" s="483">
        <v>7</v>
      </c>
      <c r="E73" s="215"/>
      <c r="F73" s="192"/>
      <c r="G73" s="192"/>
      <c r="H73" s="479"/>
      <c r="I73" s="479"/>
      <c r="J73" s="479"/>
      <c r="K73" s="479"/>
      <c r="L73" s="479"/>
      <c r="M73" s="479"/>
      <c r="N73" s="479"/>
      <c r="O73" s="479"/>
    </row>
    <row r="74" spans="1:15" s="194" customFormat="1">
      <c r="A74" s="709"/>
      <c r="B74" s="482" t="s">
        <v>1838</v>
      </c>
      <c r="C74" s="198" t="s">
        <v>1790</v>
      </c>
      <c r="D74" s="483">
        <v>6.6</v>
      </c>
      <c r="E74" s="215"/>
      <c r="F74" s="192"/>
      <c r="G74" s="192"/>
      <c r="H74" s="479"/>
      <c r="I74" s="479"/>
      <c r="J74" s="479"/>
      <c r="K74" s="479"/>
      <c r="L74" s="479"/>
      <c r="M74" s="479"/>
      <c r="N74" s="479"/>
      <c r="O74" s="479"/>
    </row>
    <row r="75" spans="1:15" s="194" customFormat="1">
      <c r="A75" s="709"/>
      <c r="B75" s="482" t="s">
        <v>1839</v>
      </c>
      <c r="C75" s="198" t="s">
        <v>1790</v>
      </c>
      <c r="D75" s="227"/>
      <c r="E75" s="215"/>
      <c r="F75" s="192"/>
      <c r="G75" s="192"/>
      <c r="H75" s="479"/>
      <c r="I75" s="479"/>
      <c r="J75" s="479"/>
      <c r="K75" s="479"/>
      <c r="L75" s="479"/>
      <c r="M75" s="479"/>
      <c r="N75" s="479"/>
      <c r="O75" s="479"/>
    </row>
    <row r="76" spans="1:15" s="194" customFormat="1">
      <c r="A76" s="709"/>
      <c r="B76" s="482" t="s">
        <v>1840</v>
      </c>
      <c r="C76" s="198" t="s">
        <v>1790</v>
      </c>
      <c r="D76" s="483">
        <v>43.4</v>
      </c>
      <c r="E76" s="215"/>
      <c r="F76" s="192"/>
      <c r="G76" s="192"/>
      <c r="H76" s="479"/>
      <c r="I76" s="479"/>
      <c r="J76" s="479"/>
      <c r="K76" s="479"/>
      <c r="L76" s="479"/>
      <c r="M76" s="479"/>
      <c r="N76" s="479"/>
      <c r="O76" s="479"/>
    </row>
    <row r="77" spans="1:15" s="194" customFormat="1">
      <c r="A77" s="709"/>
      <c r="B77" s="482" t="s">
        <v>1841</v>
      </c>
      <c r="C77" s="198" t="s">
        <v>1790</v>
      </c>
      <c r="D77" s="483">
        <v>32.1</v>
      </c>
      <c r="E77" s="215"/>
      <c r="F77" s="192"/>
      <c r="G77" s="192"/>
      <c r="H77" s="479"/>
      <c r="I77" s="479"/>
      <c r="J77" s="479"/>
      <c r="K77" s="479"/>
      <c r="L77" s="479"/>
      <c r="M77" s="479"/>
      <c r="N77" s="479"/>
      <c r="O77" s="479"/>
    </row>
    <row r="78" spans="1:15" s="194" customFormat="1">
      <c r="A78" s="709"/>
      <c r="B78" s="482" t="s">
        <v>1842</v>
      </c>
      <c r="C78" s="198" t="s">
        <v>1790</v>
      </c>
      <c r="D78" s="483">
        <v>63.8</v>
      </c>
      <c r="E78" s="215"/>
      <c r="F78" s="192"/>
      <c r="G78" s="192"/>
      <c r="H78" s="479"/>
      <c r="I78" s="479"/>
      <c r="J78" s="479"/>
      <c r="K78" s="479"/>
      <c r="L78" s="479"/>
      <c r="M78" s="479"/>
      <c r="N78" s="479"/>
      <c r="O78" s="479"/>
    </row>
    <row r="79" spans="1:15" s="194" customFormat="1">
      <c r="A79" s="709"/>
      <c r="B79" s="482" t="s">
        <v>1843</v>
      </c>
      <c r="C79" s="198" t="s">
        <v>1790</v>
      </c>
      <c r="D79" s="483">
        <v>16.100000000000001</v>
      </c>
      <c r="E79" s="215"/>
      <c r="F79" s="192"/>
      <c r="G79" s="192"/>
      <c r="H79" s="479"/>
      <c r="I79" s="479"/>
      <c r="J79" s="479"/>
      <c r="K79" s="479"/>
      <c r="L79" s="479"/>
      <c r="M79" s="479"/>
      <c r="N79" s="479"/>
      <c r="O79" s="479"/>
    </row>
    <row r="80" spans="1:15" s="194" customFormat="1">
      <c r="A80" s="710"/>
      <c r="B80" s="482" t="s">
        <v>1844</v>
      </c>
      <c r="C80" s="198" t="s">
        <v>1790</v>
      </c>
      <c r="D80" s="483">
        <v>38.5</v>
      </c>
      <c r="E80" s="215"/>
      <c r="F80" s="192"/>
      <c r="G80" s="192"/>
      <c r="H80" s="479"/>
      <c r="I80" s="479"/>
      <c r="J80" s="479"/>
      <c r="K80" s="479"/>
      <c r="L80" s="479"/>
      <c r="M80" s="479"/>
      <c r="N80" s="479"/>
      <c r="O80" s="479"/>
    </row>
    <row r="81" spans="1:15" s="194" customFormat="1">
      <c r="A81" s="480"/>
      <c r="B81" s="229"/>
      <c r="D81" s="479"/>
      <c r="E81" s="479"/>
      <c r="F81" s="192"/>
      <c r="G81" s="192"/>
      <c r="H81" s="479"/>
      <c r="I81" s="479"/>
      <c r="J81" s="479"/>
      <c r="K81" s="479"/>
      <c r="L81" s="479"/>
      <c r="M81" s="479"/>
      <c r="N81" s="479"/>
      <c r="O81" s="479"/>
    </row>
    <row r="82" spans="1:15" s="194" customFormat="1">
      <c r="A82" s="192"/>
      <c r="B82" s="192" t="s">
        <v>1845</v>
      </c>
      <c r="C82" s="192"/>
      <c r="D82" s="192"/>
      <c r="E82" s="192"/>
      <c r="F82" s="192"/>
      <c r="G82" s="192"/>
      <c r="H82" s="192"/>
      <c r="I82" s="192"/>
      <c r="J82" s="192"/>
      <c r="K82" s="192"/>
      <c r="L82" s="192"/>
    </row>
    <row r="83" spans="1:15" s="167" customFormat="1" ht="15.6">
      <c r="A83" s="711" t="s">
        <v>1682</v>
      </c>
      <c r="B83" s="711"/>
      <c r="C83" s="711"/>
      <c r="D83" s="711"/>
      <c r="E83" s="711"/>
      <c r="F83" s="711"/>
      <c r="G83" s="711"/>
      <c r="H83" s="711"/>
      <c r="I83" s="711"/>
      <c r="J83" s="711"/>
      <c r="K83" s="711"/>
      <c r="L83" s="711"/>
    </row>
    <row r="84" spans="1:15" s="167" customFormat="1" ht="15.6">
      <c r="A84" s="298"/>
      <c r="B84" s="298"/>
      <c r="C84" s="298"/>
      <c r="D84" s="298"/>
      <c r="E84" s="298"/>
      <c r="F84" s="298"/>
      <c r="G84" s="298"/>
      <c r="H84" s="298"/>
      <c r="I84" s="298"/>
      <c r="J84" s="298"/>
      <c r="K84" s="298"/>
      <c r="L84" s="298"/>
    </row>
    <row r="85" spans="1:15" s="167" customFormat="1" ht="21" customHeight="1">
      <c r="A85" s="673" t="s">
        <v>1846</v>
      </c>
      <c r="B85" s="673"/>
      <c r="C85" s="673"/>
      <c r="D85" s="673"/>
      <c r="E85" s="673"/>
      <c r="F85" s="673"/>
      <c r="G85" s="673"/>
      <c r="H85" s="673"/>
      <c r="I85" s="673"/>
      <c r="J85" s="673"/>
      <c r="K85" s="673"/>
      <c r="L85" s="673"/>
    </row>
    <row r="86" spans="1:15" s="167" customFormat="1" ht="35.25" customHeight="1">
      <c r="A86" s="668" t="s">
        <v>1847</v>
      </c>
      <c r="B86" s="702"/>
      <c r="C86" s="702"/>
      <c r="D86" s="702"/>
      <c r="E86" s="702"/>
      <c r="F86" s="702"/>
      <c r="G86" s="702"/>
      <c r="H86" s="702"/>
      <c r="I86" s="702"/>
      <c r="J86" s="702"/>
      <c r="K86" s="702"/>
      <c r="L86" s="702"/>
      <c r="M86" s="190"/>
    </row>
    <row r="87" spans="1:15" s="167" customFormat="1" ht="20.25" customHeight="1">
      <c r="A87" s="703" t="s">
        <v>1848</v>
      </c>
      <c r="B87" s="702"/>
      <c r="C87" s="702"/>
      <c r="D87" s="702"/>
      <c r="E87" s="702"/>
      <c r="F87" s="702"/>
      <c r="G87" s="702"/>
      <c r="H87" s="702"/>
      <c r="I87" s="702"/>
      <c r="J87" s="702"/>
      <c r="K87" s="702"/>
      <c r="L87" s="702"/>
      <c r="M87" s="190"/>
    </row>
    <row r="88" spans="1:15" s="167" customFormat="1" ht="14.1" customHeight="1">
      <c r="A88" s="191"/>
      <c r="B88" s="298"/>
      <c r="C88" s="298"/>
      <c r="D88" s="298"/>
      <c r="E88" s="298"/>
      <c r="F88" s="298"/>
      <c r="G88" s="298"/>
      <c r="H88" s="298"/>
      <c r="I88" s="298"/>
      <c r="J88" s="298"/>
      <c r="K88" s="298"/>
      <c r="L88" s="298"/>
    </row>
    <row r="89" spans="1:15" s="167" customFormat="1" ht="22.5" customHeight="1">
      <c r="A89" s="673" t="s">
        <v>1849</v>
      </c>
      <c r="B89" s="673"/>
      <c r="C89" s="673"/>
      <c r="D89" s="673"/>
      <c r="E89" s="673"/>
      <c r="F89" s="673"/>
      <c r="G89" s="673"/>
      <c r="H89" s="673"/>
      <c r="I89" s="673"/>
      <c r="J89" s="673"/>
      <c r="K89" s="673"/>
      <c r="L89" s="673"/>
    </row>
    <row r="90" spans="1:15" s="167" customFormat="1" ht="33.6" customHeight="1">
      <c r="A90" s="704" t="s">
        <v>1850</v>
      </c>
      <c r="B90" s="704"/>
      <c r="C90" s="704"/>
      <c r="D90" s="704"/>
      <c r="E90" s="704"/>
      <c r="F90" s="704"/>
      <c r="G90" s="704"/>
      <c r="H90" s="704"/>
      <c r="I90" s="704"/>
      <c r="J90" s="704"/>
      <c r="K90" s="704"/>
      <c r="L90" s="704"/>
    </row>
    <row r="91" spans="1:15" s="167" customFormat="1" ht="19.5" customHeight="1">
      <c r="A91" s="671" t="s">
        <v>1685</v>
      </c>
      <c r="B91" s="671"/>
      <c r="C91" s="671"/>
      <c r="D91" s="671"/>
      <c r="E91" s="671"/>
      <c r="F91" s="671"/>
      <c r="G91" s="671"/>
      <c r="H91" s="671"/>
      <c r="I91" s="671"/>
      <c r="J91" s="671"/>
      <c r="K91" s="671"/>
      <c r="L91" s="671"/>
    </row>
    <row r="92" spans="1:15" s="167" customFormat="1"/>
    <row r="93" spans="1:15" s="167" customFormat="1"/>
    <row r="94" spans="1:15" s="167" customFormat="1"/>
    <row r="95" spans="1:15" s="167" customFormat="1"/>
    <row r="96" spans="1:15" s="167" customFormat="1"/>
    <row r="97" s="167" customFormat="1"/>
    <row r="98" s="167" customFormat="1"/>
    <row r="99" s="167" customFormat="1"/>
    <row r="100" s="167" customFormat="1"/>
    <row r="101" s="167" customFormat="1"/>
    <row r="102" s="167" customFormat="1"/>
    <row r="103" s="167" customFormat="1"/>
    <row r="104" s="167" customFormat="1"/>
    <row r="105" s="167" customFormat="1"/>
    <row r="106" s="167" customFormat="1"/>
    <row r="107" s="167" customFormat="1"/>
    <row r="108" s="167" customFormat="1"/>
    <row r="109" s="167" customFormat="1"/>
    <row r="110" s="167" customFormat="1"/>
    <row r="111" s="167" customFormat="1"/>
    <row r="112" s="167" customFormat="1"/>
    <row r="113" s="167" customFormat="1"/>
    <row r="114" s="167" customFormat="1"/>
    <row r="115" s="167" customFormat="1"/>
    <row r="116" s="167" customFormat="1"/>
    <row r="117" s="167" customFormat="1"/>
    <row r="118" s="167" customFormat="1"/>
    <row r="119" s="167" customFormat="1"/>
    <row r="120" s="167" customFormat="1"/>
    <row r="121" s="167" customFormat="1"/>
    <row r="122" s="167" customFormat="1"/>
    <row r="123" s="167" customFormat="1"/>
    <row r="124" s="167" customFormat="1"/>
    <row r="125" s="167" customFormat="1"/>
    <row r="126" s="167" customFormat="1"/>
    <row r="127" s="167" customFormat="1"/>
    <row r="128" s="167" customFormat="1"/>
    <row r="129" s="167" customFormat="1"/>
    <row r="130" s="167" customFormat="1"/>
    <row r="131" s="167" customFormat="1"/>
    <row r="132" s="167" customFormat="1"/>
    <row r="133" s="167" customFormat="1"/>
    <row r="134" s="167" customFormat="1"/>
    <row r="135" s="167" customFormat="1"/>
    <row r="136" s="167" customFormat="1"/>
    <row r="137" s="167" customFormat="1"/>
    <row r="138" s="167" customFormat="1"/>
    <row r="139" s="167" customFormat="1"/>
    <row r="140" s="167" customFormat="1"/>
    <row r="141" s="167" customFormat="1"/>
    <row r="142" s="167" customFormat="1"/>
  </sheetData>
  <sheetProtection algorithmName="SHA-512" hashValue="lNc+D+9itD3/csy48bMizB6iFi6YLg/+Z0xeECZBVreBDeVNBpniTs04htkFE9VrlHChzcJFKxHpOnGLdk54dg==" saltValue="lAQo9ccbMUmEvNFL7oFVOw==" spinCount="100000" sheet="1" objects="1" scenarios="1" autoFilter="0"/>
  <mergeCells count="17">
    <mergeCell ref="A85:L85"/>
    <mergeCell ref="A8:L8"/>
    <mergeCell ref="A11:L11"/>
    <mergeCell ref="A12:L12"/>
    <mergeCell ref="A13:L13"/>
    <mergeCell ref="A15:L15"/>
    <mergeCell ref="A16:L16"/>
    <mergeCell ref="A17:L17"/>
    <mergeCell ref="A18:L18"/>
    <mergeCell ref="A22:A23"/>
    <mergeCell ref="A28:A80"/>
    <mergeCell ref="A83:L83"/>
    <mergeCell ref="A86:L86"/>
    <mergeCell ref="A87:L87"/>
    <mergeCell ref="A89:L89"/>
    <mergeCell ref="A90:L90"/>
    <mergeCell ref="A91:L91"/>
  </mergeCells>
  <conditionalFormatting sqref="D28:D80">
    <cfRule type="expression" dxfId="21" priority="1" stopIfTrue="1">
      <formula>D28=0</formula>
    </cfRule>
  </conditionalFormatting>
  <hyperlinks>
    <hyperlink ref="A3" location="Index!A1" display="Index" xr:uid="{D5FE8090-B86B-4604-8894-DE04258AF237}"/>
    <hyperlink ref="A87:L87" r:id="rId1" display="For more information about how they have been derived, please visit https://www.hotelfootprints.org where more granular data is available by city and segment." xr:uid="{534A26AD-0BFB-4388-A088-A0B1C0DD3458}"/>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B46EB1D5-9738-4FD7-BA5C-70633B35EDC7}"/>
  </hyperlinks>
  <pageMargins left="0.7" right="0.7" top="0.75" bottom="0.75" header="0.3" footer="0.3"/>
  <pageSetup paperSize="9" orientation="portrait" verticalDpi="0"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AD35-00F9-4677-8F76-2633256CFF33}">
  <sheetPr>
    <tabColor theme="6" tint="0.79998168889431442"/>
    <pageSetUpPr fitToPage="1"/>
  </sheetPr>
  <dimension ref="A1:AA82"/>
  <sheetViews>
    <sheetView workbookViewId="0"/>
  </sheetViews>
  <sheetFormatPr baseColWidth="10" defaultColWidth="11.33203125" defaultRowHeight="14.4"/>
  <cols>
    <col min="1" max="1" width="41.33203125" style="168" customWidth="1"/>
    <col min="2" max="2" width="21" style="168" bestFit="1" customWidth="1"/>
    <col min="3" max="3" width="13.6640625" style="168" customWidth="1"/>
    <col min="4" max="5" width="13.33203125" style="168" customWidth="1"/>
    <col min="6" max="6" width="17.5546875" style="168" customWidth="1"/>
    <col min="7" max="12" width="13.33203125" style="168" customWidth="1"/>
    <col min="13" max="27" width="13.33203125" style="167" customWidth="1"/>
    <col min="28" max="16384" width="11.33203125" style="168"/>
  </cols>
  <sheetData>
    <row r="1" spans="1:12" s="164" customFormat="1" ht="10.199999999999999">
      <c r="A1" s="164" t="s">
        <v>1606</v>
      </c>
    </row>
    <row r="2" spans="1:12" ht="21">
      <c r="A2" s="165" t="s">
        <v>1851</v>
      </c>
      <c r="B2" s="165"/>
      <c r="C2" s="165"/>
      <c r="D2" s="165"/>
      <c r="E2" s="165"/>
      <c r="F2" s="165"/>
      <c r="G2" s="167"/>
      <c r="H2" s="167"/>
      <c r="I2" s="167"/>
      <c r="J2" s="167"/>
      <c r="K2" s="167"/>
      <c r="L2" s="167"/>
    </row>
    <row r="3" spans="1:12">
      <c r="A3" s="169" t="s">
        <v>1608</v>
      </c>
      <c r="B3" s="167"/>
      <c r="C3" s="167"/>
      <c r="D3" s="167"/>
      <c r="E3" s="484"/>
      <c r="F3" s="167"/>
      <c r="G3" s="167"/>
      <c r="H3" s="167"/>
      <c r="I3" s="167"/>
      <c r="J3" s="167"/>
      <c r="K3" s="167"/>
      <c r="L3" s="167"/>
    </row>
    <row r="4" spans="1:12" s="174" customFormat="1" ht="7.2" thickBot="1"/>
    <row r="5" spans="1:12" ht="15" thickTop="1">
      <c r="A5" s="177" t="s">
        <v>1609</v>
      </c>
      <c r="B5" s="178" t="s">
        <v>1851</v>
      </c>
      <c r="C5" s="207" t="s">
        <v>1852</v>
      </c>
      <c r="D5" s="179">
        <v>45818</v>
      </c>
      <c r="E5" s="207" t="s">
        <v>1611</v>
      </c>
      <c r="F5" s="179" t="s">
        <v>1612</v>
      </c>
      <c r="G5" s="167"/>
      <c r="H5" s="167"/>
      <c r="I5" s="167"/>
      <c r="J5" s="167"/>
      <c r="K5" s="167"/>
      <c r="L5" s="167"/>
    </row>
    <row r="6" spans="1:12" ht="15" thickBot="1">
      <c r="A6" s="182" t="s">
        <v>1613</v>
      </c>
      <c r="B6" s="183" t="s">
        <v>1614</v>
      </c>
      <c r="C6" s="184" t="s">
        <v>1615</v>
      </c>
      <c r="D6" s="231">
        <v>1</v>
      </c>
      <c r="E6" s="184" t="s">
        <v>1616</v>
      </c>
      <c r="F6" s="209">
        <v>2024</v>
      </c>
      <c r="G6" s="167"/>
      <c r="H6" s="167"/>
      <c r="I6" s="167"/>
      <c r="J6" s="167"/>
      <c r="K6" s="167"/>
      <c r="L6" s="167"/>
    </row>
    <row r="7" spans="1:12" ht="15.6" thickTop="1" thickBot="1">
      <c r="A7" s="167"/>
      <c r="B7" s="167"/>
      <c r="C7" s="167"/>
      <c r="D7" s="167"/>
      <c r="E7" s="167"/>
      <c r="F7" s="167"/>
      <c r="G7" s="167"/>
      <c r="H7" s="167"/>
      <c r="I7" s="167"/>
      <c r="J7" s="167"/>
      <c r="K7" s="167"/>
      <c r="L7" s="167"/>
    </row>
    <row r="8" spans="1:12" ht="34.5" customHeight="1" thickTop="1" thickBot="1">
      <c r="A8" s="674" t="s">
        <v>1853</v>
      </c>
      <c r="B8" s="675"/>
      <c r="C8" s="675"/>
      <c r="D8" s="675"/>
      <c r="E8" s="675"/>
      <c r="F8" s="675"/>
      <c r="G8" s="675"/>
      <c r="H8" s="675"/>
      <c r="I8" s="675"/>
      <c r="J8" s="675"/>
      <c r="K8" s="675"/>
      <c r="L8" s="676"/>
    </row>
    <row r="9" spans="1:12" ht="15" customHeight="1" thickTop="1">
      <c r="A9" s="712"/>
      <c r="B9" s="712"/>
      <c r="C9" s="712"/>
      <c r="D9" s="712"/>
      <c r="E9" s="712"/>
      <c r="F9" s="712"/>
      <c r="G9" s="712"/>
      <c r="H9" s="712"/>
      <c r="I9" s="712"/>
      <c r="J9" s="712"/>
      <c r="K9" s="712"/>
      <c r="L9" s="712"/>
    </row>
    <row r="10" spans="1:12" s="167" customFormat="1" ht="15" customHeight="1">
      <c r="A10" s="669" t="s">
        <v>1618</v>
      </c>
      <c r="B10" s="669"/>
      <c r="C10" s="669"/>
      <c r="D10" s="669"/>
      <c r="E10" s="669"/>
      <c r="F10" s="669"/>
      <c r="G10" s="669"/>
      <c r="H10" s="669"/>
      <c r="I10" s="669"/>
      <c r="J10" s="669"/>
      <c r="K10" s="669"/>
      <c r="L10" s="669"/>
    </row>
    <row r="11" spans="1:12" s="167" customFormat="1">
      <c r="A11" s="713" t="s">
        <v>1854</v>
      </c>
      <c r="B11" s="713"/>
      <c r="C11" s="713"/>
      <c r="D11" s="713"/>
      <c r="E11" s="713"/>
      <c r="F11" s="713"/>
      <c r="G11" s="713"/>
      <c r="H11" s="713"/>
      <c r="I11" s="713"/>
      <c r="J11" s="713"/>
      <c r="K11" s="713"/>
      <c r="L11" s="713"/>
    </row>
    <row r="12" spans="1:12" s="167" customFormat="1">
      <c r="A12" s="222"/>
      <c r="B12" s="222"/>
      <c r="C12" s="222"/>
      <c r="D12" s="222"/>
      <c r="E12" s="222"/>
      <c r="F12" s="222"/>
      <c r="G12" s="222"/>
      <c r="H12" s="222"/>
      <c r="I12" s="222"/>
      <c r="J12" s="222"/>
      <c r="K12" s="222"/>
      <c r="L12" s="222"/>
    </row>
    <row r="13" spans="1:12" s="167" customFormat="1" ht="26.25" customHeight="1">
      <c r="A13" s="669" t="s">
        <v>1855</v>
      </c>
      <c r="B13" s="669"/>
      <c r="C13" s="669"/>
      <c r="D13" s="669"/>
      <c r="E13" s="669"/>
      <c r="F13" s="669"/>
      <c r="G13" s="669"/>
      <c r="H13" s="669"/>
      <c r="I13" s="669"/>
      <c r="J13" s="669"/>
      <c r="K13" s="669"/>
      <c r="L13" s="669"/>
    </row>
    <row r="14" spans="1:12" s="167" customFormat="1" ht="15" customHeight="1">
      <c r="A14" s="668" t="s">
        <v>1856</v>
      </c>
      <c r="B14" s="668"/>
      <c r="C14" s="668"/>
      <c r="D14" s="668"/>
      <c r="E14" s="668"/>
      <c r="F14" s="668"/>
      <c r="G14" s="668"/>
      <c r="H14" s="668"/>
      <c r="I14" s="668"/>
      <c r="J14" s="668"/>
      <c r="K14" s="668"/>
      <c r="L14" s="668"/>
    </row>
    <row r="15" spans="1:12" s="167" customFormat="1">
      <c r="A15" s="668" t="s">
        <v>1857</v>
      </c>
      <c r="B15" s="668"/>
      <c r="C15" s="668"/>
      <c r="D15" s="668"/>
      <c r="E15" s="668"/>
      <c r="F15" s="668"/>
      <c r="G15" s="668"/>
      <c r="H15" s="668"/>
      <c r="I15" s="668"/>
      <c r="J15" s="668"/>
      <c r="K15" s="668"/>
      <c r="L15" s="668"/>
    </row>
    <row r="16" spans="1:12" s="194" customFormat="1">
      <c r="A16" s="668" t="s">
        <v>1858</v>
      </c>
      <c r="B16" s="668"/>
      <c r="C16" s="668"/>
      <c r="D16" s="668"/>
      <c r="E16" s="668"/>
      <c r="F16" s="668"/>
      <c r="G16" s="668"/>
      <c r="H16" s="668"/>
      <c r="I16" s="668"/>
      <c r="J16" s="668"/>
      <c r="K16" s="668"/>
      <c r="L16" s="668"/>
    </row>
    <row r="17" spans="1:12" s="194" customFormat="1" ht="46.2" customHeight="1">
      <c r="A17" s="713" t="s">
        <v>1859</v>
      </c>
      <c r="B17" s="713"/>
      <c r="C17" s="713"/>
      <c r="D17" s="713"/>
      <c r="E17" s="713"/>
      <c r="F17" s="713"/>
      <c r="G17" s="713"/>
      <c r="H17" s="713"/>
      <c r="I17" s="713"/>
      <c r="J17" s="713"/>
      <c r="K17" s="713"/>
      <c r="L17" s="713"/>
    </row>
    <row r="18" spans="1:12" s="204" customFormat="1">
      <c r="A18" s="485"/>
    </row>
    <row r="19" spans="1:12" s="204" customFormat="1" ht="13.2">
      <c r="A19" s="486"/>
      <c r="C19" s="486"/>
      <c r="D19" s="486"/>
    </row>
    <row r="20" spans="1:12" s="204" customFormat="1" ht="13.2"/>
    <row r="21" spans="1:12" s="204" customFormat="1" ht="15.6">
      <c r="A21" s="196" t="s">
        <v>1629</v>
      </c>
      <c r="B21" s="196" t="s">
        <v>1631</v>
      </c>
      <c r="C21" s="198" t="s">
        <v>1632</v>
      </c>
    </row>
    <row r="22" spans="1:12" s="204" customFormat="1">
      <c r="A22" s="198" t="s">
        <v>1596</v>
      </c>
      <c r="B22" s="198" t="s">
        <v>1860</v>
      </c>
      <c r="C22" s="227">
        <v>3.1440000000000003E-2</v>
      </c>
      <c r="D22" s="215"/>
    </row>
    <row r="23" spans="1:12" s="204" customFormat="1">
      <c r="A23" s="198" t="s">
        <v>1598</v>
      </c>
      <c r="B23" s="198" t="s">
        <v>1860</v>
      </c>
      <c r="C23" s="227">
        <v>0.30234</v>
      </c>
      <c r="D23" s="215"/>
    </row>
    <row r="24" spans="1:12" s="240" customFormat="1">
      <c r="A24" s="198" t="s">
        <v>1599</v>
      </c>
      <c r="B24" s="198" t="s">
        <v>1860</v>
      </c>
      <c r="C24" s="227">
        <v>0.33378000000000002</v>
      </c>
      <c r="D24" s="215"/>
    </row>
    <row r="25" spans="1:12" s="194" customFormat="1">
      <c r="A25" s="192"/>
      <c r="B25" s="192"/>
      <c r="C25" s="192"/>
      <c r="D25" s="192"/>
      <c r="E25" s="204"/>
      <c r="F25" s="192"/>
      <c r="G25" s="192"/>
      <c r="H25" s="192"/>
      <c r="I25" s="192"/>
      <c r="J25" s="192"/>
      <c r="K25" s="192"/>
      <c r="L25" s="192"/>
    </row>
    <row r="26" spans="1:12" s="167" customFormat="1" ht="15.6">
      <c r="A26" s="711" t="s">
        <v>1682</v>
      </c>
      <c r="B26" s="711"/>
      <c r="C26" s="711"/>
      <c r="D26" s="711"/>
      <c r="E26" s="711"/>
      <c r="F26" s="711"/>
      <c r="G26" s="711"/>
      <c r="H26" s="711"/>
      <c r="I26" s="711"/>
      <c r="J26" s="711"/>
      <c r="K26" s="711"/>
      <c r="L26" s="711"/>
    </row>
    <row r="27" spans="1:12" s="167" customFormat="1" ht="15.6">
      <c r="A27" s="298"/>
      <c r="B27" s="298"/>
      <c r="C27" s="298"/>
      <c r="D27" s="298"/>
      <c r="E27" s="298"/>
      <c r="F27" s="298"/>
      <c r="G27" s="298"/>
      <c r="H27" s="298"/>
      <c r="I27" s="298"/>
      <c r="J27" s="298"/>
      <c r="K27" s="298"/>
      <c r="L27" s="298"/>
    </row>
    <row r="28" spans="1:12" s="167" customFormat="1" ht="21" customHeight="1">
      <c r="A28" s="673" t="s">
        <v>1861</v>
      </c>
      <c r="B28" s="673"/>
      <c r="C28" s="673"/>
      <c r="D28" s="673"/>
      <c r="E28" s="673"/>
      <c r="F28" s="673"/>
      <c r="G28" s="673"/>
      <c r="H28" s="673"/>
      <c r="I28" s="673"/>
      <c r="J28" s="673"/>
      <c r="K28" s="673"/>
      <c r="L28" s="673"/>
    </row>
    <row r="29" spans="1:12" s="167" customFormat="1" ht="20.85" customHeight="1">
      <c r="A29" s="191" t="s">
        <v>1862</v>
      </c>
      <c r="B29" s="298"/>
      <c r="C29" s="298"/>
      <c r="D29" s="298"/>
      <c r="E29" s="298"/>
      <c r="F29" s="298"/>
      <c r="G29" s="298"/>
      <c r="H29" s="298"/>
      <c r="I29" s="298"/>
      <c r="J29" s="298"/>
      <c r="K29" s="298"/>
      <c r="L29" s="298"/>
    </row>
    <row r="30" spans="1:12" s="167" customFormat="1" ht="15.6">
      <c r="A30" s="191"/>
      <c r="B30" s="298"/>
      <c r="C30" s="487"/>
      <c r="D30" s="298"/>
      <c r="E30" s="298"/>
      <c r="F30" s="298"/>
      <c r="G30" s="298"/>
      <c r="H30" s="298"/>
      <c r="I30" s="298"/>
      <c r="J30" s="298"/>
      <c r="K30" s="298"/>
      <c r="L30" s="298"/>
    </row>
    <row r="31" spans="1:12" s="167" customFormat="1" ht="19.5" customHeight="1">
      <c r="A31" s="671" t="s">
        <v>1685</v>
      </c>
      <c r="B31" s="671"/>
      <c r="C31" s="671"/>
      <c r="D31" s="671"/>
      <c r="E31" s="671"/>
      <c r="F31" s="671"/>
      <c r="G31" s="671"/>
      <c r="H31" s="671"/>
      <c r="I31" s="671"/>
      <c r="J31" s="671"/>
      <c r="K31" s="671"/>
      <c r="L31" s="671"/>
    </row>
    <row r="32" spans="1:12" s="167" customFormat="1"/>
    <row r="33" s="167" customFormat="1"/>
    <row r="34" s="167" customFormat="1"/>
    <row r="35" s="167" customFormat="1"/>
    <row r="36" s="167" customFormat="1"/>
    <row r="37" s="167" customFormat="1"/>
    <row r="38" s="167" customFormat="1"/>
    <row r="39" s="167" customFormat="1"/>
    <row r="40" s="167" customFormat="1"/>
    <row r="41" s="167" customFormat="1"/>
    <row r="42" s="167" customFormat="1"/>
    <row r="43" s="167" customFormat="1"/>
    <row r="44" s="167" customFormat="1"/>
    <row r="45" s="167" customFormat="1"/>
    <row r="46" s="167" customFormat="1"/>
    <row r="47" s="167" customFormat="1"/>
    <row r="48" s="167" customFormat="1"/>
    <row r="49" s="167" customFormat="1"/>
    <row r="50" s="167" customFormat="1"/>
    <row r="51" s="167" customFormat="1"/>
    <row r="52" s="167" customFormat="1"/>
    <row r="53" s="167" customFormat="1"/>
    <row r="54" s="167" customFormat="1"/>
    <row r="55" s="167" customFormat="1"/>
    <row r="56" s="167" customFormat="1"/>
    <row r="57" s="167" customFormat="1"/>
    <row r="58" s="167" customFormat="1"/>
    <row r="59" s="167" customFormat="1"/>
    <row r="60" s="167" customFormat="1"/>
    <row r="61" s="167" customFormat="1"/>
    <row r="62" s="167" customFormat="1"/>
    <row r="63" s="167" customFormat="1"/>
    <row r="64"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row r="79" s="167" customFormat="1"/>
    <row r="80" s="167" customFormat="1"/>
    <row r="81" s="167" customFormat="1"/>
    <row r="82" s="167" customFormat="1"/>
  </sheetData>
  <sheetProtection algorithmName="SHA-512" hashValue="C08cSFvNaHbMbb+soGxYp/BDW5jx6nZENIYl8seF0jR5mG0PfmceZzFcuHBeEccvJiva4FdY2lZV4G9Odyhhjw==" saltValue="694vjo0xrbpQW0CN1jcbiQ==" spinCount="100000" sheet="1" objects="1" scenarios="1" autoFilter="0"/>
  <mergeCells count="12">
    <mergeCell ref="A31:L31"/>
    <mergeCell ref="A8:L8"/>
    <mergeCell ref="A9:L9"/>
    <mergeCell ref="A10:L10"/>
    <mergeCell ref="A11:L11"/>
    <mergeCell ref="A13:L13"/>
    <mergeCell ref="A14:L14"/>
    <mergeCell ref="A15:L15"/>
    <mergeCell ref="A16:L16"/>
    <mergeCell ref="A17:L17"/>
    <mergeCell ref="A26:L26"/>
    <mergeCell ref="A28:L28"/>
  </mergeCells>
  <hyperlinks>
    <hyperlink ref="A3" location="Index!A1" display="Index" xr:uid="{0C36E3CB-860A-425C-ADD1-8008A0C64E77}"/>
  </hyperlinks>
  <pageMargins left="0.7" right="0.7" top="0.75" bottom="0.75" header="0.3" footer="0.3"/>
  <pageSetup paperSize="9" scale="11"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2:AF50"/>
  <sheetViews>
    <sheetView showGridLines="0" workbookViewId="0"/>
  </sheetViews>
  <sheetFormatPr baseColWidth="10" defaultColWidth="11.44140625" defaultRowHeight="14.4"/>
  <cols>
    <col min="1" max="1" width="4.33203125" customWidth="1"/>
    <col min="2" max="2" width="29.109375" bestFit="1" customWidth="1"/>
    <col min="3" max="3" width="33.109375" customWidth="1"/>
    <col min="4" max="4" width="29.6640625" customWidth="1"/>
    <col min="5" max="5" width="34.33203125" bestFit="1" customWidth="1"/>
    <col min="6" max="7" width="17.88671875" customWidth="1"/>
    <col min="8" max="8" width="11.88671875" bestFit="1" customWidth="1"/>
    <col min="10" max="11" width="11.44140625" customWidth="1"/>
    <col min="16" max="16" width="15.44140625" customWidth="1"/>
    <col min="24" max="24" width="14.109375" bestFit="1" customWidth="1"/>
    <col min="25" max="25" width="15" customWidth="1"/>
    <col min="26" max="27" width="15.44140625" customWidth="1"/>
    <col min="28" max="28" width="29.6640625" customWidth="1"/>
    <col min="29" max="29" width="26.33203125" customWidth="1"/>
    <col min="30" max="30" width="34" bestFit="1" customWidth="1"/>
    <col min="31" max="31" width="13.6640625" bestFit="1" customWidth="1"/>
    <col min="32" max="32" width="38.88671875" customWidth="1"/>
  </cols>
  <sheetData>
    <row r="2" spans="2:32">
      <c r="B2" s="61" t="s">
        <v>343</v>
      </c>
      <c r="C2" s="61" t="s">
        <v>344</v>
      </c>
      <c r="D2" s="61" t="s">
        <v>345</v>
      </c>
      <c r="E2" s="61" t="s">
        <v>346</v>
      </c>
    </row>
    <row r="3" spans="2:32">
      <c r="B3" s="62" t="s">
        <v>347</v>
      </c>
      <c r="C3" s="63">
        <f>'1.4 AR5 CH8  T8.A.1'!H4</f>
        <v>1</v>
      </c>
      <c r="D3" s="64" t="s">
        <v>102</v>
      </c>
      <c r="E3" s="64" t="s">
        <v>348</v>
      </c>
    </row>
    <row r="4" spans="2:32">
      <c r="B4" s="62" t="s">
        <v>156</v>
      </c>
      <c r="C4" s="63">
        <f>'1.4 AR5 CH8  T8.A.1'!H5</f>
        <v>28</v>
      </c>
      <c r="D4" s="64" t="s">
        <v>102</v>
      </c>
      <c r="E4" s="64" t="s">
        <v>348</v>
      </c>
    </row>
    <row r="5" spans="2:32">
      <c r="B5" s="62" t="s">
        <v>349</v>
      </c>
      <c r="C5" s="63">
        <f>'1.4 AR5 CH8  T8.A.1'!H7</f>
        <v>265</v>
      </c>
      <c r="D5" s="64" t="s">
        <v>102</v>
      </c>
      <c r="E5" s="64" t="s">
        <v>348</v>
      </c>
    </row>
    <row r="6" spans="2:32">
      <c r="B6" s="65" t="s">
        <v>350</v>
      </c>
      <c r="C6" s="63">
        <v>4.1867999999999999</v>
      </c>
      <c r="D6" s="413" t="s">
        <v>351</v>
      </c>
      <c r="E6" s="157" t="s">
        <v>352</v>
      </c>
    </row>
    <row r="7" spans="2:32">
      <c r="B7" s="68" t="s">
        <v>353</v>
      </c>
      <c r="C7" s="69">
        <v>1000000000</v>
      </c>
      <c r="D7" s="413" t="s">
        <v>351</v>
      </c>
      <c r="E7" s="413"/>
    </row>
    <row r="8" spans="2:32">
      <c r="B8" s="66" t="s">
        <v>354</v>
      </c>
      <c r="C8" s="67">
        <v>0.95</v>
      </c>
      <c r="D8" s="64" t="s">
        <v>102</v>
      </c>
      <c r="E8" s="64" t="s">
        <v>355</v>
      </c>
    </row>
    <row r="9" spans="2:32">
      <c r="B9" s="66" t="s">
        <v>356</v>
      </c>
      <c r="C9" s="67">
        <v>0.9</v>
      </c>
      <c r="D9" s="64" t="s">
        <v>102</v>
      </c>
      <c r="E9" s="64" t="s">
        <v>357</v>
      </c>
    </row>
    <row r="11" spans="2:32">
      <c r="B11" s="1" t="s">
        <v>358</v>
      </c>
      <c r="X11" s="406"/>
      <c r="Y11" s="406"/>
      <c r="Z11" s="406"/>
    </row>
    <row r="12" spans="2:32">
      <c r="B12" s="1" t="s">
        <v>99</v>
      </c>
      <c r="X12" s="405"/>
      <c r="Y12" s="405"/>
      <c r="Z12" s="405"/>
    </row>
    <row r="13" spans="2:32">
      <c r="B13" s="1" t="s">
        <v>359</v>
      </c>
    </row>
    <row r="14" spans="2:32">
      <c r="H14" s="94"/>
      <c r="I14" s="94"/>
      <c r="J14" s="94"/>
      <c r="T14" s="519" t="s">
        <v>360</v>
      </c>
      <c r="U14" s="519"/>
      <c r="V14" s="519"/>
      <c r="W14" s="519"/>
      <c r="X14" s="519" t="s">
        <v>361</v>
      </c>
      <c r="Y14" s="519"/>
      <c r="Z14" s="519"/>
      <c r="AA14" s="519"/>
      <c r="AB14" s="519"/>
      <c r="AC14" s="519"/>
    </row>
    <row r="15" spans="2:32" ht="57.6">
      <c r="B15" s="71" t="s">
        <v>362</v>
      </c>
      <c r="C15" s="71" t="s">
        <v>363</v>
      </c>
      <c r="D15" s="71" t="s">
        <v>364</v>
      </c>
      <c r="E15" s="71" t="s">
        <v>365</v>
      </c>
      <c r="F15" s="71" t="s">
        <v>93</v>
      </c>
      <c r="G15" s="98" t="s">
        <v>366</v>
      </c>
      <c r="H15" s="74" t="s">
        <v>367</v>
      </c>
      <c r="I15" s="74" t="s">
        <v>368</v>
      </c>
      <c r="J15" s="74" t="s">
        <v>369</v>
      </c>
      <c r="K15" s="75" t="s">
        <v>370</v>
      </c>
      <c r="L15" s="75" t="s">
        <v>345</v>
      </c>
      <c r="M15" s="75" t="s">
        <v>371</v>
      </c>
      <c r="N15" s="75" t="s">
        <v>372</v>
      </c>
      <c r="O15" s="75" t="s">
        <v>373</v>
      </c>
      <c r="P15" s="75" t="s">
        <v>374</v>
      </c>
      <c r="Q15" s="71" t="s">
        <v>375</v>
      </c>
      <c r="R15" s="71" t="s">
        <v>376</v>
      </c>
      <c r="S15" s="71" t="s">
        <v>345</v>
      </c>
      <c r="T15" s="71" t="s">
        <v>377</v>
      </c>
      <c r="U15" s="71" t="s">
        <v>378</v>
      </c>
      <c r="V15" s="71" t="s">
        <v>379</v>
      </c>
      <c r="W15" s="71" t="s">
        <v>345</v>
      </c>
      <c r="X15" s="71" t="s">
        <v>377</v>
      </c>
      <c r="Y15" s="71" t="s">
        <v>378</v>
      </c>
      <c r="Z15" s="71" t="s">
        <v>379</v>
      </c>
      <c r="AA15" s="71" t="s">
        <v>345</v>
      </c>
      <c r="AB15" s="71" t="s">
        <v>380</v>
      </c>
      <c r="AC15" s="71" t="s">
        <v>345</v>
      </c>
      <c r="AD15" s="74" t="s">
        <v>96</v>
      </c>
      <c r="AE15" s="75" t="s">
        <v>97</v>
      </c>
      <c r="AF15" s="99" t="s">
        <v>381</v>
      </c>
    </row>
    <row r="16" spans="2:32">
      <c r="B16" s="72" t="s">
        <v>101</v>
      </c>
      <c r="C16" s="72" t="s">
        <v>101</v>
      </c>
      <c r="D16" s="72" t="s">
        <v>101</v>
      </c>
      <c r="E16" s="72" t="s">
        <v>382</v>
      </c>
      <c r="F16" s="96" t="s">
        <v>103</v>
      </c>
      <c r="G16" s="79" t="s">
        <v>383</v>
      </c>
      <c r="H16" s="344">
        <f>'1.1 V2 CH2 T2.4'!$F$18</f>
        <v>73300</v>
      </c>
      <c r="I16" s="345">
        <f>'1.1 V2 CH2 T2.4'!$I$18</f>
        <v>10</v>
      </c>
      <c r="J16" s="345">
        <f>'1.1 V2 CH2 T2.4'!$L$18</f>
        <v>0.6</v>
      </c>
      <c r="K16" s="337">
        <f>'1.1 y 1.2CUADROA2 - BNE 2020-21'!$C$14</f>
        <v>0.7</v>
      </c>
      <c r="L16" s="109" t="s">
        <v>384</v>
      </c>
      <c r="M16" s="102">
        <f>'1.1 y 1.2CUADROA2 - BNE 2020-21'!D$14</f>
        <v>11500</v>
      </c>
      <c r="N16" s="102" t="str">
        <f>'1.1 y 1.2CUADROA2 - BNE 2020-21'!E$14</f>
        <v>kcal/kg</v>
      </c>
      <c r="O16" s="102">
        <f t="shared" ref="O16:O26" si="0">IF(G16="Gaseoso", M16*$C$9, M16*$C$8)</f>
        <v>10925</v>
      </c>
      <c r="P16" s="109" t="str">
        <f t="shared" ref="P16:P26" si="1">N16</f>
        <v>kcal/kg</v>
      </c>
      <c r="Q16" s="109" t="s">
        <v>385</v>
      </c>
      <c r="R16" s="103">
        <f t="shared" ref="R16:R48" si="2">O16*$C$6/$C$7*IF(Q16="Sí",K16*1000,1)</f>
        <v>3.2018552999999998E-2</v>
      </c>
      <c r="S16" s="103" t="str">
        <f>IF(Q16="Sí","TJ/m3", IF(N16="kcal/m3", "TJ/m3","TJ/kg"))</f>
        <v>TJ/m3</v>
      </c>
      <c r="T16" s="103">
        <f>H16*$R16</f>
        <v>2346.9599349</v>
      </c>
      <c r="U16" s="103">
        <f t="shared" ref="U16:U26" si="3">I16*$R16</f>
        <v>0.32018553</v>
      </c>
      <c r="V16" s="103">
        <f t="shared" ref="V16:V26" si="4">J16*$R16</f>
        <v>1.92111318E-2</v>
      </c>
      <c r="W16" s="103" t="str">
        <f t="shared" ref="W16:W26" si="5">IF(S16="TJ/m3", "kg GEI/m3", "kg GEI/kg")</f>
        <v>kg GEI/m3</v>
      </c>
      <c r="X16" s="103">
        <f t="shared" ref="X16:X26" si="6">$C$3*T16</f>
        <v>2346.9599349</v>
      </c>
      <c r="Y16" s="104">
        <f t="shared" ref="Y16:Y26" si="7">U16*$C$4</f>
        <v>8.9651948400000006</v>
      </c>
      <c r="Z16" s="104">
        <f t="shared" ref="Z16:Z26" si="8">V16*$C$5</f>
        <v>5.0909499269999996</v>
      </c>
      <c r="AA16" s="105" t="str">
        <f t="shared" ref="AA16:AA26" si="9">IF(S16="TJ/m3", "kg CO2e/m3", "kg CO2e/kg")</f>
        <v>kg CO2e/m3</v>
      </c>
      <c r="AB16" s="103">
        <f>SUM(X16:Z16)*IF(AND(F16="gramos",S16="TJ/m3")=TRUE(),1/(K16*1000000),
IF(AND(F16="gramos",S16="TJ/kg")=TRUE(),1/(1000),
IF(AND(F16="kilogramos",S16="TJ/m3")=TRUE(),1/(K16*1000),
IF(AND(F16="toneladas",S16="TJ/m3")=TRUE(),1/K16,
IF(AND(F16="toneladas",S16="TJ/kg")=TRUE(),1000,
IF(AND(S16="TJ/m3",F16="litros")=TRUE(),1/1000,
IF(AND(S16="TJ/kg",F16="litros")=TRUE(),K16/1000,1)))))))</f>
        <v>2361.0160796670002</v>
      </c>
      <c r="AC16" s="404" t="str">
        <f>"kgCO2e/"&amp;F16</f>
        <v>kgCO2e/metros cúbicos</v>
      </c>
      <c r="AD16" s="402" t="s">
        <v>386</v>
      </c>
      <c r="AE16" s="402" t="s">
        <v>387</v>
      </c>
      <c r="AF16" s="402" t="s">
        <v>102</v>
      </c>
    </row>
    <row r="17" spans="2:32">
      <c r="B17" s="72" t="s">
        <v>101</v>
      </c>
      <c r="C17" s="72" t="s">
        <v>101</v>
      </c>
      <c r="D17" s="72" t="s">
        <v>101</v>
      </c>
      <c r="E17" s="72" t="s">
        <v>382</v>
      </c>
      <c r="F17" s="96" t="s">
        <v>104</v>
      </c>
      <c r="G17" s="79" t="s">
        <v>383</v>
      </c>
      <c r="H17" s="344">
        <f>'1.1 V2 CH2 T2.4'!$F$18</f>
        <v>73300</v>
      </c>
      <c r="I17" s="345">
        <f>'1.1 V2 CH2 T2.4'!$I$18</f>
        <v>10</v>
      </c>
      <c r="J17" s="345">
        <f>'1.1 V2 CH2 T2.4'!$L$18</f>
        <v>0.6</v>
      </c>
      <c r="K17" s="337">
        <f>'1.1 y 1.2CUADROA2 - BNE 2020-21'!$C$14</f>
        <v>0.7</v>
      </c>
      <c r="L17" s="109" t="s">
        <v>384</v>
      </c>
      <c r="M17" s="102">
        <f>'1.1 y 1.2CUADROA2 - BNE 2020-21'!D$14</f>
        <v>11500</v>
      </c>
      <c r="N17" s="102" t="str">
        <f>'1.1 y 1.2CUADROA2 - BNE 2020-21'!E$14</f>
        <v>kcal/kg</v>
      </c>
      <c r="O17" s="102">
        <f t="shared" si="0"/>
        <v>10925</v>
      </c>
      <c r="P17" s="109" t="str">
        <f t="shared" si="1"/>
        <v>kcal/kg</v>
      </c>
      <c r="Q17" s="109" t="s">
        <v>385</v>
      </c>
      <c r="R17" s="103">
        <f t="shared" si="2"/>
        <v>3.2018552999999998E-2</v>
      </c>
      <c r="S17" s="103" t="str">
        <f t="shared" ref="S17:S26" si="10">IF(Q17="Sí","TJ/m3", IF(N17="kcal/m3", "TJ/m3","TJ/kg"))</f>
        <v>TJ/m3</v>
      </c>
      <c r="T17" s="103">
        <f>H17*$R17</f>
        <v>2346.9599349</v>
      </c>
      <c r="U17" s="103">
        <f t="shared" si="3"/>
        <v>0.32018553</v>
      </c>
      <c r="V17" s="103">
        <f t="shared" si="4"/>
        <v>1.92111318E-2</v>
      </c>
      <c r="W17" s="103" t="str">
        <f t="shared" si="5"/>
        <v>kg GEI/m3</v>
      </c>
      <c r="X17" s="104">
        <f t="shared" si="6"/>
        <v>2346.9599349</v>
      </c>
      <c r="Y17" s="104">
        <f t="shared" si="7"/>
        <v>8.9651948400000006</v>
      </c>
      <c r="Z17" s="104">
        <f t="shared" si="8"/>
        <v>5.0909499269999996</v>
      </c>
      <c r="AA17" s="105" t="str">
        <f t="shared" si="9"/>
        <v>kg CO2e/m3</v>
      </c>
      <c r="AB17" s="103">
        <f t="shared" ref="AB17:AB48" si="11">SUM(X17:Z17)*IF(AND(F17="gramos",S17="TJ/m3")=TRUE(),1/(K17*1000000),
IF(AND(F17="gramos",S17="TJ/kg")=TRUE(),1/(1000),
IF(AND(F17="kilogramos",S17="TJ/m3")=TRUE(),1/(K17*1000),
IF(AND(F17="toneladas",S17="TJ/m3")=TRUE(),1/K17,
IF(AND(F17="toneladas",S17="TJ/kg")=TRUE(),1000,
IF(AND(S17="TJ/m3",F17="litros")=TRUE(),1/1000,
IF(AND(S17="TJ/kg",F17="litros")=TRUE(),K17/1000,1)))))))</f>
        <v>2.3610160796670003</v>
      </c>
      <c r="AC17" s="404" t="str">
        <f>"kgCO2e/"&amp;F17</f>
        <v>kgCO2e/litros</v>
      </c>
      <c r="AD17" s="72" t="s">
        <v>386</v>
      </c>
      <c r="AE17" s="72" t="s">
        <v>387</v>
      </c>
      <c r="AF17" s="402" t="s">
        <v>102</v>
      </c>
    </row>
    <row r="18" spans="2:32">
      <c r="B18" s="72" t="s">
        <v>105</v>
      </c>
      <c r="C18" s="72" t="s">
        <v>388</v>
      </c>
      <c r="D18" s="72" t="s">
        <v>389</v>
      </c>
      <c r="E18" s="72" t="s">
        <v>390</v>
      </c>
      <c r="F18" s="96" t="s">
        <v>106</v>
      </c>
      <c r="G18" s="79" t="s">
        <v>391</v>
      </c>
      <c r="H18" s="344">
        <f>'1.1 V2 CH2 T2.4'!$F$29</f>
        <v>94600</v>
      </c>
      <c r="I18" s="345">
        <f>'1.1 V2 CH2 T2.4'!$I$29</f>
        <v>10</v>
      </c>
      <c r="J18" s="345">
        <f>'1.1 V2 CH2 T2.4'!$L$29</f>
        <v>1.5</v>
      </c>
      <c r="K18" s="109"/>
      <c r="L18" s="109"/>
      <c r="M18" s="102">
        <f>'1.1 y 1.2CUADROA2 - BNE 2020-21'!D$23</f>
        <v>7000</v>
      </c>
      <c r="N18" s="102" t="str">
        <f>'1.1 y 1.2CUADROA2 - BNE 2020-21'!E$23</f>
        <v>kcal/kg</v>
      </c>
      <c r="O18" s="102">
        <f t="shared" si="0"/>
        <v>6650</v>
      </c>
      <c r="P18" s="109" t="str">
        <f t="shared" si="1"/>
        <v>kcal/kg</v>
      </c>
      <c r="Q18" s="109" t="s">
        <v>392</v>
      </c>
      <c r="R18" s="103">
        <f t="shared" si="2"/>
        <v>2.7842219999999997E-5</v>
      </c>
      <c r="S18" s="103" t="str">
        <f t="shared" si="10"/>
        <v>TJ/kg</v>
      </c>
      <c r="T18" s="103">
        <f t="shared" ref="T18:T26" si="12">H18*$R18</f>
        <v>2.6338740119999997</v>
      </c>
      <c r="U18" s="103">
        <f t="shared" si="3"/>
        <v>2.7842219999999997E-4</v>
      </c>
      <c r="V18" s="103">
        <f t="shared" si="4"/>
        <v>4.1763329999999996E-5</v>
      </c>
      <c r="W18" s="103" t="str">
        <f t="shared" si="5"/>
        <v>kg GEI/kg</v>
      </c>
      <c r="X18" s="104">
        <f t="shared" si="6"/>
        <v>2.6338740119999997</v>
      </c>
      <c r="Y18" s="104">
        <f t="shared" si="7"/>
        <v>7.795821599999999E-3</v>
      </c>
      <c r="Z18" s="104">
        <f t="shared" si="8"/>
        <v>1.1067282449999999E-2</v>
      </c>
      <c r="AA18" s="105" t="str">
        <f t="shared" si="9"/>
        <v>kg CO2e/kg</v>
      </c>
      <c r="AB18" s="407">
        <f t="shared" si="11"/>
        <v>2652.7371160499997</v>
      </c>
      <c r="AC18" s="404" t="str">
        <f t="shared" ref="AC18:AC48" si="13">"kgCO2e/"&amp;F18</f>
        <v>kgCO2e/toneladas</v>
      </c>
      <c r="AD18" s="72" t="s">
        <v>386</v>
      </c>
      <c r="AE18" s="72" t="s">
        <v>387</v>
      </c>
      <c r="AF18" s="402" t="s">
        <v>102</v>
      </c>
    </row>
    <row r="19" spans="2:32">
      <c r="B19" s="72" t="s">
        <v>105</v>
      </c>
      <c r="C19" s="72" t="s">
        <v>388</v>
      </c>
      <c r="D19" s="72" t="s">
        <v>389</v>
      </c>
      <c r="E19" s="72" t="s">
        <v>390</v>
      </c>
      <c r="F19" s="96" t="s">
        <v>107</v>
      </c>
      <c r="G19" s="79" t="s">
        <v>391</v>
      </c>
      <c r="H19" s="344">
        <f>'1.1 V2 CH2 T2.4'!$F$29</f>
        <v>94600</v>
      </c>
      <c r="I19" s="345">
        <f>'1.1 V2 CH2 T2.4'!$I$29</f>
        <v>10</v>
      </c>
      <c r="J19" s="345">
        <f>'1.1 V2 CH2 T2.4'!$L$29</f>
        <v>1.5</v>
      </c>
      <c r="K19" s="109"/>
      <c r="L19" s="109"/>
      <c r="M19" s="102">
        <f>'1.1 y 1.2CUADROA2 - BNE 2020-21'!D$23</f>
        <v>7000</v>
      </c>
      <c r="N19" s="102" t="str">
        <f>'1.1 y 1.2CUADROA2 - BNE 2020-21'!E$23</f>
        <v>kcal/kg</v>
      </c>
      <c r="O19" s="102">
        <f t="shared" si="0"/>
        <v>6650</v>
      </c>
      <c r="P19" s="109" t="str">
        <f t="shared" si="1"/>
        <v>kcal/kg</v>
      </c>
      <c r="Q19" s="109" t="s">
        <v>392</v>
      </c>
      <c r="R19" s="103">
        <f t="shared" si="2"/>
        <v>2.7842219999999997E-5</v>
      </c>
      <c r="S19" s="103" t="str">
        <f t="shared" si="10"/>
        <v>TJ/kg</v>
      </c>
      <c r="T19" s="103">
        <f t="shared" si="12"/>
        <v>2.6338740119999997</v>
      </c>
      <c r="U19" s="103">
        <f t="shared" si="3"/>
        <v>2.7842219999999997E-4</v>
      </c>
      <c r="V19" s="103">
        <f t="shared" si="4"/>
        <v>4.1763329999999996E-5</v>
      </c>
      <c r="W19" s="103" t="str">
        <f t="shared" si="5"/>
        <v>kg GEI/kg</v>
      </c>
      <c r="X19" s="104">
        <f t="shared" si="6"/>
        <v>2.6338740119999997</v>
      </c>
      <c r="Y19" s="104">
        <f t="shared" si="7"/>
        <v>7.795821599999999E-3</v>
      </c>
      <c r="Z19" s="104">
        <f t="shared" si="8"/>
        <v>1.1067282449999999E-2</v>
      </c>
      <c r="AA19" s="105" t="str">
        <f t="shared" si="9"/>
        <v>kg CO2e/kg</v>
      </c>
      <c r="AB19" s="104">
        <f t="shared" si="11"/>
        <v>2.6527371160499995</v>
      </c>
      <c r="AC19" s="404" t="str">
        <f t="shared" si="13"/>
        <v>kgCO2e/kilogramos</v>
      </c>
      <c r="AD19" s="72" t="s">
        <v>386</v>
      </c>
      <c r="AE19" s="72" t="s">
        <v>387</v>
      </c>
      <c r="AF19" s="402" t="s">
        <v>102</v>
      </c>
    </row>
    <row r="20" spans="2:32">
      <c r="B20" s="72" t="s">
        <v>105</v>
      </c>
      <c r="C20" s="72" t="s">
        <v>388</v>
      </c>
      <c r="D20" s="72" t="s">
        <v>389</v>
      </c>
      <c r="E20" s="72" t="s">
        <v>390</v>
      </c>
      <c r="F20" s="96" t="s">
        <v>108</v>
      </c>
      <c r="G20" s="79" t="s">
        <v>391</v>
      </c>
      <c r="H20" s="344">
        <f>'1.1 V2 CH2 T2.4'!$F$29</f>
        <v>94600</v>
      </c>
      <c r="I20" s="345">
        <f>'1.1 V2 CH2 T2.4'!$I$29</f>
        <v>10</v>
      </c>
      <c r="J20" s="345">
        <f>'1.1 V2 CH2 T2.4'!$L$29</f>
        <v>1.5</v>
      </c>
      <c r="K20" s="109"/>
      <c r="L20" s="109"/>
      <c r="M20" s="102">
        <f>'1.1 y 1.2CUADROA2 - BNE 2020-21'!D$23</f>
        <v>7000</v>
      </c>
      <c r="N20" s="102" t="str">
        <f>'1.1 y 1.2CUADROA2 - BNE 2020-21'!E$23</f>
        <v>kcal/kg</v>
      </c>
      <c r="O20" s="102">
        <f t="shared" si="0"/>
        <v>6650</v>
      </c>
      <c r="P20" s="109" t="str">
        <f t="shared" si="1"/>
        <v>kcal/kg</v>
      </c>
      <c r="Q20" s="109" t="s">
        <v>392</v>
      </c>
      <c r="R20" s="103">
        <f t="shared" si="2"/>
        <v>2.7842219999999997E-5</v>
      </c>
      <c r="S20" s="103" t="str">
        <f t="shared" si="10"/>
        <v>TJ/kg</v>
      </c>
      <c r="T20" s="103">
        <f t="shared" si="12"/>
        <v>2.6338740119999997</v>
      </c>
      <c r="U20" s="103">
        <f t="shared" si="3"/>
        <v>2.7842219999999997E-4</v>
      </c>
      <c r="V20" s="103">
        <f t="shared" si="4"/>
        <v>4.1763329999999996E-5</v>
      </c>
      <c r="W20" s="103" t="str">
        <f t="shared" si="5"/>
        <v>kg GEI/kg</v>
      </c>
      <c r="X20" s="104">
        <f t="shared" si="6"/>
        <v>2.6338740119999997</v>
      </c>
      <c r="Y20" s="104">
        <f t="shared" si="7"/>
        <v>7.795821599999999E-3</v>
      </c>
      <c r="Z20" s="104">
        <f t="shared" si="8"/>
        <v>1.1067282449999999E-2</v>
      </c>
      <c r="AA20" s="105" t="str">
        <f t="shared" si="9"/>
        <v>kg CO2e/kg</v>
      </c>
      <c r="AB20" s="123">
        <f t="shared" si="11"/>
        <v>2.6527371160499995E-3</v>
      </c>
      <c r="AC20" s="404" t="str">
        <f t="shared" si="13"/>
        <v>kgCO2e/gramos</v>
      </c>
      <c r="AD20" s="72" t="s">
        <v>386</v>
      </c>
      <c r="AE20" s="72" t="s">
        <v>387</v>
      </c>
      <c r="AF20" s="402" t="s">
        <v>102</v>
      </c>
    </row>
    <row r="21" spans="2:32">
      <c r="B21" s="72" t="s">
        <v>109</v>
      </c>
      <c r="C21" s="72" t="s">
        <v>388</v>
      </c>
      <c r="D21" s="72" t="s">
        <v>393</v>
      </c>
      <c r="E21" s="72" t="s">
        <v>394</v>
      </c>
      <c r="F21" s="96" t="s">
        <v>106</v>
      </c>
      <c r="G21" s="79" t="s">
        <v>391</v>
      </c>
      <c r="H21" s="344">
        <f>'1.1 V2 CH2 T2.4'!$F$30</f>
        <v>94600</v>
      </c>
      <c r="I21" s="345">
        <f>'1.1 V2 CH2 T2.4'!$I$30</f>
        <v>10</v>
      </c>
      <c r="J21" s="345">
        <f>'1.1 V2 CH2 T2.4'!$L$30</f>
        <v>1.5</v>
      </c>
      <c r="K21" s="109"/>
      <c r="L21" s="109"/>
      <c r="M21" s="102">
        <f>'1.1 y 1.2CUADROA2 - BNE 2020-21'!D$23</f>
        <v>7000</v>
      </c>
      <c r="N21" s="102" t="str">
        <f>'1.1 y 1.2CUADROA2 - BNE 2020-21'!E$23</f>
        <v>kcal/kg</v>
      </c>
      <c r="O21" s="102">
        <f t="shared" si="0"/>
        <v>6650</v>
      </c>
      <c r="P21" s="109" t="str">
        <f t="shared" si="1"/>
        <v>kcal/kg</v>
      </c>
      <c r="Q21" s="109" t="s">
        <v>392</v>
      </c>
      <c r="R21" s="103">
        <f t="shared" si="2"/>
        <v>2.7842219999999997E-5</v>
      </c>
      <c r="S21" s="103" t="str">
        <f t="shared" si="10"/>
        <v>TJ/kg</v>
      </c>
      <c r="T21" s="103">
        <f t="shared" si="12"/>
        <v>2.6338740119999997</v>
      </c>
      <c r="U21" s="103">
        <f t="shared" si="3"/>
        <v>2.7842219999999997E-4</v>
      </c>
      <c r="V21" s="103">
        <f t="shared" si="4"/>
        <v>4.1763329999999996E-5</v>
      </c>
      <c r="W21" s="103" t="str">
        <f t="shared" si="5"/>
        <v>kg GEI/kg</v>
      </c>
      <c r="X21" s="104">
        <f t="shared" si="6"/>
        <v>2.6338740119999997</v>
      </c>
      <c r="Y21" s="104">
        <f t="shared" si="7"/>
        <v>7.795821599999999E-3</v>
      </c>
      <c r="Z21" s="104">
        <f t="shared" si="8"/>
        <v>1.1067282449999999E-2</v>
      </c>
      <c r="AA21" s="105" t="str">
        <f t="shared" si="9"/>
        <v>kg CO2e/kg</v>
      </c>
      <c r="AB21" s="103">
        <f t="shared" si="11"/>
        <v>2652.7371160499997</v>
      </c>
      <c r="AC21" s="404" t="str">
        <f t="shared" si="13"/>
        <v>kgCO2e/toneladas</v>
      </c>
      <c r="AD21" s="72" t="s">
        <v>386</v>
      </c>
      <c r="AE21" s="72" t="s">
        <v>387</v>
      </c>
      <c r="AF21" s="402" t="s">
        <v>102</v>
      </c>
    </row>
    <row r="22" spans="2:32">
      <c r="B22" s="72" t="s">
        <v>109</v>
      </c>
      <c r="C22" s="72" t="s">
        <v>388</v>
      </c>
      <c r="D22" s="72" t="s">
        <v>393</v>
      </c>
      <c r="E22" s="72" t="s">
        <v>394</v>
      </c>
      <c r="F22" s="96" t="s">
        <v>107</v>
      </c>
      <c r="G22" s="79" t="s">
        <v>391</v>
      </c>
      <c r="H22" s="344">
        <f>'1.1 V2 CH2 T2.4'!$F$30</f>
        <v>94600</v>
      </c>
      <c r="I22" s="345">
        <f>'1.1 V2 CH2 T2.4'!$I$30</f>
        <v>10</v>
      </c>
      <c r="J22" s="345">
        <f>'1.1 V2 CH2 T2.4'!$L$30</f>
        <v>1.5</v>
      </c>
      <c r="K22" s="109"/>
      <c r="L22" s="109"/>
      <c r="M22" s="102">
        <f>'1.1 y 1.2CUADROA2 - BNE 2020-21'!D$23</f>
        <v>7000</v>
      </c>
      <c r="N22" s="102" t="str">
        <f>'1.1 y 1.2CUADROA2 - BNE 2020-21'!E$23</f>
        <v>kcal/kg</v>
      </c>
      <c r="O22" s="102">
        <f t="shared" si="0"/>
        <v>6650</v>
      </c>
      <c r="P22" s="109" t="str">
        <f t="shared" si="1"/>
        <v>kcal/kg</v>
      </c>
      <c r="Q22" s="109" t="s">
        <v>392</v>
      </c>
      <c r="R22" s="103">
        <f t="shared" si="2"/>
        <v>2.7842219999999997E-5</v>
      </c>
      <c r="S22" s="103" t="str">
        <f t="shared" si="10"/>
        <v>TJ/kg</v>
      </c>
      <c r="T22" s="103">
        <f t="shared" si="12"/>
        <v>2.6338740119999997</v>
      </c>
      <c r="U22" s="103">
        <f t="shared" si="3"/>
        <v>2.7842219999999997E-4</v>
      </c>
      <c r="V22" s="103">
        <f t="shared" si="4"/>
        <v>4.1763329999999996E-5</v>
      </c>
      <c r="W22" s="103" t="str">
        <f t="shared" si="5"/>
        <v>kg GEI/kg</v>
      </c>
      <c r="X22" s="104">
        <f t="shared" si="6"/>
        <v>2.6338740119999997</v>
      </c>
      <c r="Y22" s="104">
        <f t="shared" si="7"/>
        <v>7.795821599999999E-3</v>
      </c>
      <c r="Z22" s="104">
        <f t="shared" si="8"/>
        <v>1.1067282449999999E-2</v>
      </c>
      <c r="AA22" s="105" t="str">
        <f t="shared" si="9"/>
        <v>kg CO2e/kg</v>
      </c>
      <c r="AB22" s="328">
        <f t="shared" si="11"/>
        <v>2.6527371160499995</v>
      </c>
      <c r="AC22" s="404" t="str">
        <f t="shared" si="13"/>
        <v>kgCO2e/kilogramos</v>
      </c>
      <c r="AD22" s="72" t="s">
        <v>386</v>
      </c>
      <c r="AE22" s="72" t="s">
        <v>387</v>
      </c>
      <c r="AF22" s="402" t="s">
        <v>102</v>
      </c>
    </row>
    <row r="23" spans="2:32">
      <c r="B23" s="72" t="s">
        <v>109</v>
      </c>
      <c r="C23" s="72" t="s">
        <v>388</v>
      </c>
      <c r="D23" s="72" t="s">
        <v>393</v>
      </c>
      <c r="E23" s="72" t="s">
        <v>394</v>
      </c>
      <c r="F23" s="96" t="s">
        <v>108</v>
      </c>
      <c r="G23" s="79" t="s">
        <v>391</v>
      </c>
      <c r="H23" s="344">
        <f>'1.1 V2 CH2 T2.4'!$F$30</f>
        <v>94600</v>
      </c>
      <c r="I23" s="345">
        <f>'1.1 V2 CH2 T2.4'!$I$30</f>
        <v>10</v>
      </c>
      <c r="J23" s="345">
        <f>'1.1 V2 CH2 T2.4'!$L$30</f>
        <v>1.5</v>
      </c>
      <c r="K23" s="109"/>
      <c r="L23" s="109"/>
      <c r="M23" s="102">
        <f>'1.1 y 1.2CUADROA2 - BNE 2020-21'!D$23</f>
        <v>7000</v>
      </c>
      <c r="N23" s="102" t="str">
        <f>'1.1 y 1.2CUADROA2 - BNE 2020-21'!E$23</f>
        <v>kcal/kg</v>
      </c>
      <c r="O23" s="102">
        <f t="shared" si="0"/>
        <v>6650</v>
      </c>
      <c r="P23" s="109" t="str">
        <f t="shared" si="1"/>
        <v>kcal/kg</v>
      </c>
      <c r="Q23" s="109" t="s">
        <v>392</v>
      </c>
      <c r="R23" s="103">
        <f t="shared" si="2"/>
        <v>2.7842219999999997E-5</v>
      </c>
      <c r="S23" s="103" t="str">
        <f t="shared" si="10"/>
        <v>TJ/kg</v>
      </c>
      <c r="T23" s="103">
        <f t="shared" si="12"/>
        <v>2.6338740119999997</v>
      </c>
      <c r="U23" s="103">
        <f t="shared" si="3"/>
        <v>2.7842219999999997E-4</v>
      </c>
      <c r="V23" s="103">
        <f t="shared" si="4"/>
        <v>4.1763329999999996E-5</v>
      </c>
      <c r="W23" s="103" t="str">
        <f t="shared" si="5"/>
        <v>kg GEI/kg</v>
      </c>
      <c r="X23" s="104">
        <f t="shared" si="6"/>
        <v>2.6338740119999997</v>
      </c>
      <c r="Y23" s="104">
        <f t="shared" si="7"/>
        <v>7.795821599999999E-3</v>
      </c>
      <c r="Z23" s="104">
        <f t="shared" si="8"/>
        <v>1.1067282449999999E-2</v>
      </c>
      <c r="AA23" s="105" t="str">
        <f t="shared" si="9"/>
        <v>kg CO2e/kg</v>
      </c>
      <c r="AB23" s="123">
        <f t="shared" si="11"/>
        <v>2.6527371160499995E-3</v>
      </c>
      <c r="AC23" s="404" t="str">
        <f t="shared" si="13"/>
        <v>kgCO2e/gramos</v>
      </c>
      <c r="AD23" s="72" t="s">
        <v>386</v>
      </c>
      <c r="AE23" s="72" t="s">
        <v>387</v>
      </c>
      <c r="AF23" s="402" t="s">
        <v>102</v>
      </c>
    </row>
    <row r="24" spans="2:32">
      <c r="B24" s="72" t="s">
        <v>110</v>
      </c>
      <c r="C24" s="72" t="s">
        <v>395</v>
      </c>
      <c r="D24" s="72" t="s">
        <v>396</v>
      </c>
      <c r="E24" s="72" t="s">
        <v>397</v>
      </c>
      <c r="F24" s="96" t="s">
        <v>103</v>
      </c>
      <c r="G24" s="79" t="s">
        <v>383</v>
      </c>
      <c r="H24" s="344">
        <f>'1.1 V2 CH2 T2.4'!$F$8</f>
        <v>69300</v>
      </c>
      <c r="I24" s="345">
        <f>'1.1 V2 CH2 T2.4'!$I$8</f>
        <v>10</v>
      </c>
      <c r="J24" s="345">
        <f>'1.1 V2 CH2 T2.4'!$L$8</f>
        <v>0.6</v>
      </c>
      <c r="K24" s="337">
        <f>'1.1 y 1.2CUADROA2 - BNE 2020-21'!$C$16</f>
        <v>0.73</v>
      </c>
      <c r="L24" s="109" t="s">
        <v>384</v>
      </c>
      <c r="M24" s="102">
        <f>'1.1 y 1.2CUADROA2 - BNE 2020-21'!D$16</f>
        <v>11200</v>
      </c>
      <c r="N24" s="102" t="str">
        <f>'1.1 y 1.2CUADROA2 - BNE 2020-21'!E$16</f>
        <v>kcal/kg</v>
      </c>
      <c r="O24" s="102">
        <f t="shared" si="0"/>
        <v>10640</v>
      </c>
      <c r="P24" s="109" t="str">
        <f t="shared" si="1"/>
        <v>kcal/kg</v>
      </c>
      <c r="Q24" s="109" t="s">
        <v>385</v>
      </c>
      <c r="R24" s="103">
        <f t="shared" si="2"/>
        <v>3.2519712959999995E-2</v>
      </c>
      <c r="S24" s="103" t="str">
        <f t="shared" si="10"/>
        <v>TJ/m3</v>
      </c>
      <c r="T24" s="103">
        <f t="shared" si="12"/>
        <v>2253.6161081279997</v>
      </c>
      <c r="U24" s="103">
        <f t="shared" si="3"/>
        <v>0.32519712959999997</v>
      </c>
      <c r="V24" s="103">
        <f t="shared" si="4"/>
        <v>1.9511827775999996E-2</v>
      </c>
      <c r="W24" s="103" t="str">
        <f t="shared" si="5"/>
        <v>kg GEI/m3</v>
      </c>
      <c r="X24" s="103">
        <f t="shared" si="6"/>
        <v>2253.6161081279997</v>
      </c>
      <c r="Y24" s="104">
        <f t="shared" si="7"/>
        <v>9.1055196287999998</v>
      </c>
      <c r="Z24" s="104">
        <f t="shared" si="8"/>
        <v>5.1706343606399985</v>
      </c>
      <c r="AA24" s="105" t="str">
        <f t="shared" si="9"/>
        <v>kg CO2e/m3</v>
      </c>
      <c r="AB24" s="103">
        <f t="shared" si="11"/>
        <v>2267.8922621174397</v>
      </c>
      <c r="AC24" s="404" t="str">
        <f t="shared" si="13"/>
        <v>kgCO2e/metros cúbicos</v>
      </c>
      <c r="AD24" s="72" t="s">
        <v>386</v>
      </c>
      <c r="AE24" s="72" t="s">
        <v>387</v>
      </c>
      <c r="AF24" s="402" t="s">
        <v>102</v>
      </c>
    </row>
    <row r="25" spans="2:32">
      <c r="B25" s="72" t="s">
        <v>110</v>
      </c>
      <c r="C25" s="72" t="s">
        <v>395</v>
      </c>
      <c r="D25" s="72" t="s">
        <v>396</v>
      </c>
      <c r="E25" s="72" t="s">
        <v>397</v>
      </c>
      <c r="F25" s="96" t="s">
        <v>104</v>
      </c>
      <c r="G25" s="79" t="s">
        <v>383</v>
      </c>
      <c r="H25" s="344">
        <f>'1.1 V2 CH2 T2.4'!$F$8</f>
        <v>69300</v>
      </c>
      <c r="I25" s="345">
        <f>'1.1 V2 CH2 T2.4'!$I$8</f>
        <v>10</v>
      </c>
      <c r="J25" s="345">
        <f>'1.1 V2 CH2 T2.4'!$L$8</f>
        <v>0.6</v>
      </c>
      <c r="K25" s="337">
        <f>'1.1 y 1.2CUADROA2 - BNE 2020-21'!$C$16</f>
        <v>0.73</v>
      </c>
      <c r="L25" s="109" t="s">
        <v>384</v>
      </c>
      <c r="M25" s="102">
        <f>'1.1 y 1.2CUADROA2 - BNE 2020-21'!D$16</f>
        <v>11200</v>
      </c>
      <c r="N25" s="102" t="str">
        <f>'1.1 y 1.2CUADROA2 - BNE 2020-21'!E$16</f>
        <v>kcal/kg</v>
      </c>
      <c r="O25" s="102">
        <f t="shared" si="0"/>
        <v>10640</v>
      </c>
      <c r="P25" s="109" t="str">
        <f t="shared" si="1"/>
        <v>kcal/kg</v>
      </c>
      <c r="Q25" s="109" t="s">
        <v>385</v>
      </c>
      <c r="R25" s="103">
        <f t="shared" si="2"/>
        <v>3.2519712959999995E-2</v>
      </c>
      <c r="S25" s="103" t="str">
        <f t="shared" si="10"/>
        <v>TJ/m3</v>
      </c>
      <c r="T25" s="103">
        <f t="shared" si="12"/>
        <v>2253.6161081279997</v>
      </c>
      <c r="U25" s="103">
        <f t="shared" si="3"/>
        <v>0.32519712959999997</v>
      </c>
      <c r="V25" s="103">
        <f t="shared" si="4"/>
        <v>1.9511827775999996E-2</v>
      </c>
      <c r="W25" s="103" t="str">
        <f t="shared" si="5"/>
        <v>kg GEI/m3</v>
      </c>
      <c r="X25" s="103">
        <f t="shared" si="6"/>
        <v>2253.6161081279997</v>
      </c>
      <c r="Y25" s="104">
        <f t="shared" si="7"/>
        <v>9.1055196287999998</v>
      </c>
      <c r="Z25" s="104">
        <f t="shared" si="8"/>
        <v>5.1706343606399985</v>
      </c>
      <c r="AA25" s="105" t="str">
        <f t="shared" si="9"/>
        <v>kg CO2e/m3</v>
      </c>
      <c r="AB25" s="103">
        <f t="shared" si="11"/>
        <v>2.2678922621174396</v>
      </c>
      <c r="AC25" s="404" t="str">
        <f t="shared" si="13"/>
        <v>kgCO2e/litros</v>
      </c>
      <c r="AD25" s="72" t="s">
        <v>386</v>
      </c>
      <c r="AE25" s="72" t="s">
        <v>387</v>
      </c>
      <c r="AF25" s="402" t="s">
        <v>102</v>
      </c>
    </row>
    <row r="26" spans="2:32">
      <c r="B26" s="72" t="s">
        <v>111</v>
      </c>
      <c r="C26" s="72" t="s">
        <v>102</v>
      </c>
      <c r="D26" s="72" t="s">
        <v>111</v>
      </c>
      <c r="E26" s="72" t="s">
        <v>398</v>
      </c>
      <c r="F26" s="96" t="s">
        <v>106</v>
      </c>
      <c r="G26" s="79" t="s">
        <v>399</v>
      </c>
      <c r="H26" s="344">
        <f>'1.1 V2 CH2 T2.4'!$F$41</f>
        <v>260000</v>
      </c>
      <c r="I26" s="345">
        <f>'1.1 V2 CH2 T2.4'!$I$41</f>
        <v>5</v>
      </c>
      <c r="J26" s="345">
        <f>'1.1 V2 CH2 T2.4'!$L$41</f>
        <v>0.1</v>
      </c>
      <c r="K26" s="109"/>
      <c r="L26" s="109"/>
      <c r="M26" s="108">
        <f>2.47*1000/C$6</f>
        <v>589.94936466991498</v>
      </c>
      <c r="N26" s="108" t="s">
        <v>400</v>
      </c>
      <c r="O26" s="102">
        <f t="shared" si="0"/>
        <v>530.95442820292351</v>
      </c>
      <c r="P26" s="109" t="str">
        <f t="shared" si="1"/>
        <v>kcal/kg</v>
      </c>
      <c r="Q26" s="109" t="s">
        <v>392</v>
      </c>
      <c r="R26" s="103">
        <f t="shared" si="2"/>
        <v>2.2230000000000001E-6</v>
      </c>
      <c r="S26" s="103" t="str">
        <f t="shared" si="10"/>
        <v>TJ/kg</v>
      </c>
      <c r="T26" s="103">
        <f t="shared" si="12"/>
        <v>0.57798000000000005</v>
      </c>
      <c r="U26" s="103">
        <f t="shared" si="3"/>
        <v>1.1115000000000001E-5</v>
      </c>
      <c r="V26" s="103">
        <f t="shared" si="4"/>
        <v>2.2230000000000003E-7</v>
      </c>
      <c r="W26" s="103" t="str">
        <f t="shared" si="5"/>
        <v>kg GEI/kg</v>
      </c>
      <c r="X26" s="104">
        <f t="shared" si="6"/>
        <v>0.57798000000000005</v>
      </c>
      <c r="Y26" s="104">
        <f t="shared" si="7"/>
        <v>3.1122000000000002E-4</v>
      </c>
      <c r="Z26" s="104">
        <f t="shared" si="8"/>
        <v>5.8909500000000009E-5</v>
      </c>
      <c r="AA26" s="105" t="str">
        <f t="shared" si="9"/>
        <v>kg CO2e/kg</v>
      </c>
      <c r="AB26" s="103">
        <f t="shared" si="11"/>
        <v>578.35012949999998</v>
      </c>
      <c r="AC26" s="404" t="str">
        <f t="shared" si="13"/>
        <v>kgCO2e/toneladas</v>
      </c>
      <c r="AD26" s="72" t="s">
        <v>386</v>
      </c>
      <c r="AE26" s="72" t="s">
        <v>387</v>
      </c>
      <c r="AF26" s="402" t="s">
        <v>401</v>
      </c>
    </row>
    <row r="27" spans="2:32">
      <c r="B27" s="72" t="s">
        <v>111</v>
      </c>
      <c r="C27" s="72" t="s">
        <v>102</v>
      </c>
      <c r="D27" s="72" t="s">
        <v>111</v>
      </c>
      <c r="E27" s="72" t="s">
        <v>398</v>
      </c>
      <c r="F27" s="96" t="s">
        <v>107</v>
      </c>
      <c r="G27" s="79" t="s">
        <v>399</v>
      </c>
      <c r="H27" s="344">
        <f>'1.1 V2 CH2 T2.4'!$F$41</f>
        <v>260000</v>
      </c>
      <c r="I27" s="345">
        <f>'1.1 V2 CH2 T2.4'!$I$41</f>
        <v>5</v>
      </c>
      <c r="J27" s="345">
        <f>'1.1 V2 CH2 T2.4'!$L$41</f>
        <v>0.1</v>
      </c>
      <c r="K27" s="109"/>
      <c r="L27" s="109"/>
      <c r="M27" s="108">
        <f t="shared" ref="M27:M28" si="14">2.47*1000/C$6</f>
        <v>589.94936466991498</v>
      </c>
      <c r="N27" s="108" t="s">
        <v>400</v>
      </c>
      <c r="O27" s="102">
        <f t="shared" ref="O27:O28" si="15">IF(G27="Gaseoso", M27*$C$9, M27*$C$8)</f>
        <v>530.95442820292351</v>
      </c>
      <c r="P27" s="109" t="str">
        <f t="shared" ref="P27:P28" si="16">N27</f>
        <v>kcal/kg</v>
      </c>
      <c r="Q27" s="109" t="s">
        <v>392</v>
      </c>
      <c r="R27" s="103">
        <f t="shared" si="2"/>
        <v>2.2230000000000001E-6</v>
      </c>
      <c r="S27" s="103" t="str">
        <f t="shared" ref="S27:S28" si="17">IF(Q27="Sí","TJ/m3", IF(N27="kcal/m3", "TJ/m3","TJ/kg"))</f>
        <v>TJ/kg</v>
      </c>
      <c r="T27" s="103">
        <f t="shared" ref="T27:T28" si="18">H27*$R27</f>
        <v>0.57798000000000005</v>
      </c>
      <c r="U27" s="103">
        <f t="shared" ref="U27:U28" si="19">I27*$R27</f>
        <v>1.1115000000000001E-5</v>
      </c>
      <c r="V27" s="103">
        <f t="shared" ref="V27:V28" si="20">J27*$R27</f>
        <v>2.2230000000000003E-7</v>
      </c>
      <c r="W27" s="103" t="str">
        <f t="shared" ref="W27:W28" si="21">IF(S27="TJ/m3", "kg GEI/m3", "kg GEI/kg")</f>
        <v>kg GEI/kg</v>
      </c>
      <c r="X27" s="104">
        <f t="shared" ref="X27:X28" si="22">$C$3*T27</f>
        <v>0.57798000000000005</v>
      </c>
      <c r="Y27" s="123">
        <f t="shared" ref="Y27:Y28" si="23">U27*$C$4</f>
        <v>3.1122000000000002E-4</v>
      </c>
      <c r="Z27" s="123">
        <f t="shared" ref="Z27:Z28" si="24">V27*$C$5</f>
        <v>5.8909500000000009E-5</v>
      </c>
      <c r="AA27" s="105" t="str">
        <f t="shared" ref="AA27:AA28" si="25">IF(S27="TJ/m3", "kg CO2e/m3", "kg CO2e/kg")</f>
        <v>kg CO2e/kg</v>
      </c>
      <c r="AB27" s="104">
        <f t="shared" si="11"/>
        <v>0.57835012949999998</v>
      </c>
      <c r="AC27" s="404" t="str">
        <f t="shared" si="13"/>
        <v>kgCO2e/kilogramos</v>
      </c>
      <c r="AD27" s="72" t="s">
        <v>386</v>
      </c>
      <c r="AE27" s="72" t="s">
        <v>387</v>
      </c>
      <c r="AF27" s="72" t="s">
        <v>401</v>
      </c>
    </row>
    <row r="28" spans="2:32">
      <c r="B28" s="72" t="s">
        <v>111</v>
      </c>
      <c r="C28" s="72" t="s">
        <v>102</v>
      </c>
      <c r="D28" s="72" t="s">
        <v>111</v>
      </c>
      <c r="E28" s="72" t="s">
        <v>398</v>
      </c>
      <c r="F28" s="96" t="s">
        <v>108</v>
      </c>
      <c r="G28" s="79" t="s">
        <v>399</v>
      </c>
      <c r="H28" s="344">
        <f>'1.1 V2 CH2 T2.4'!$F$41</f>
        <v>260000</v>
      </c>
      <c r="I28" s="345">
        <f>'1.1 V2 CH2 T2.4'!$I$41</f>
        <v>5</v>
      </c>
      <c r="J28" s="345">
        <f>'1.1 V2 CH2 T2.4'!$L$41</f>
        <v>0.1</v>
      </c>
      <c r="K28" s="109"/>
      <c r="L28" s="109"/>
      <c r="M28" s="108">
        <f t="shared" si="14"/>
        <v>589.94936466991498</v>
      </c>
      <c r="N28" s="108" t="s">
        <v>400</v>
      </c>
      <c r="O28" s="102">
        <f t="shared" si="15"/>
        <v>530.95442820292351</v>
      </c>
      <c r="P28" s="109" t="str">
        <f t="shared" si="16"/>
        <v>kcal/kg</v>
      </c>
      <c r="Q28" s="109" t="s">
        <v>392</v>
      </c>
      <c r="R28" s="103">
        <f t="shared" si="2"/>
        <v>2.2230000000000001E-6</v>
      </c>
      <c r="S28" s="103" t="str">
        <f t="shared" si="17"/>
        <v>TJ/kg</v>
      </c>
      <c r="T28" s="103">
        <f t="shared" si="18"/>
        <v>0.57798000000000005</v>
      </c>
      <c r="U28" s="103">
        <f t="shared" si="19"/>
        <v>1.1115000000000001E-5</v>
      </c>
      <c r="V28" s="103">
        <f t="shared" si="20"/>
        <v>2.2230000000000003E-7</v>
      </c>
      <c r="W28" s="103" t="str">
        <f t="shared" si="21"/>
        <v>kg GEI/kg</v>
      </c>
      <c r="X28" s="104">
        <f t="shared" si="22"/>
        <v>0.57798000000000005</v>
      </c>
      <c r="Y28" s="104">
        <f t="shared" si="23"/>
        <v>3.1122000000000002E-4</v>
      </c>
      <c r="Z28" s="104">
        <f t="shared" si="24"/>
        <v>5.8909500000000009E-5</v>
      </c>
      <c r="AA28" s="105" t="str">
        <f t="shared" si="25"/>
        <v>kg CO2e/kg</v>
      </c>
      <c r="AB28" s="162">
        <f t="shared" si="11"/>
        <v>5.7835012949999996E-4</v>
      </c>
      <c r="AC28" s="404" t="str">
        <f t="shared" si="13"/>
        <v>kgCO2e/gramos</v>
      </c>
      <c r="AD28" s="72" t="s">
        <v>386</v>
      </c>
      <c r="AE28" s="72" t="s">
        <v>387</v>
      </c>
      <c r="AF28" s="72" t="s">
        <v>401</v>
      </c>
    </row>
    <row r="29" spans="2:32">
      <c r="B29" s="72" t="s">
        <v>112</v>
      </c>
      <c r="C29" s="72" t="s">
        <v>402</v>
      </c>
      <c r="D29" s="72" t="s">
        <v>115</v>
      </c>
      <c r="E29" s="72" t="s">
        <v>403</v>
      </c>
      <c r="F29" s="96" t="s">
        <v>103</v>
      </c>
      <c r="G29" s="79" t="s">
        <v>399</v>
      </c>
      <c r="H29" s="344">
        <f>'1.1 V2 CH2 T2.4'!$F$43</f>
        <v>56100</v>
      </c>
      <c r="I29" s="345">
        <f>'1.1 V2 CH2 T2.4'!$I$43</f>
        <v>5</v>
      </c>
      <c r="J29" s="345">
        <f>'1.1 V2 CH2 T2.4'!$L$43</f>
        <v>0.1</v>
      </c>
      <c r="K29" s="109"/>
      <c r="L29" s="109"/>
      <c r="M29" s="102">
        <f>'1.1 y 1.2CUADROA2 - BNE 2020-21'!D$21</f>
        <v>9341</v>
      </c>
      <c r="N29" s="109" t="str">
        <f>'1.1 y 1.2CUADROA2 - BNE 2020-21'!E$21</f>
        <v>kcal/m3</v>
      </c>
      <c r="O29" s="102">
        <f>IF(G29="Gaseoso", M29*$C$9, M29*$C$8)</f>
        <v>8406.9</v>
      </c>
      <c r="P29" s="109" t="str">
        <f>N29</f>
        <v>kcal/m3</v>
      </c>
      <c r="Q29" s="109" t="s">
        <v>392</v>
      </c>
      <c r="R29" s="103">
        <f t="shared" si="2"/>
        <v>3.5198008920000004E-5</v>
      </c>
      <c r="S29" s="103" t="str">
        <f>IF(Q29="Sí","TJ/m3", IF(N29="kcal/m3", "TJ/m3","TJ/kg"))</f>
        <v>TJ/m3</v>
      </c>
      <c r="T29" s="103">
        <f t="shared" ref="T29:V29" si="26">H29*$R29</f>
        <v>1.9746083004120003</v>
      </c>
      <c r="U29" s="103">
        <f t="shared" si="26"/>
        <v>1.7599004460000002E-4</v>
      </c>
      <c r="V29" s="103">
        <f t="shared" si="26"/>
        <v>3.5198008920000004E-6</v>
      </c>
      <c r="W29" s="103" t="str">
        <f>IF(S29="TJ/m3", "kg GEI/m3", "kg GEI/kg")</f>
        <v>kg GEI/m3</v>
      </c>
      <c r="X29" s="104">
        <f>$C$3*T29</f>
        <v>1.9746083004120003</v>
      </c>
      <c r="Y29" s="104">
        <f>U29*$C$4</f>
        <v>4.9277212488000009E-3</v>
      </c>
      <c r="Z29" s="104">
        <f>V29*$C$5</f>
        <v>9.3274723638000015E-4</v>
      </c>
      <c r="AA29" s="105" t="str">
        <f>IF(S29="TJ/m3", "kg CO2e/m3", "kg CO2e/kg")</f>
        <v>kg CO2e/m3</v>
      </c>
      <c r="AB29" s="103">
        <f t="shared" si="11"/>
        <v>1.9804687688971803</v>
      </c>
      <c r="AC29" s="404" t="str">
        <f t="shared" si="13"/>
        <v>kgCO2e/metros cúbicos</v>
      </c>
      <c r="AD29" s="72" t="s">
        <v>386</v>
      </c>
      <c r="AE29" s="72" t="s">
        <v>387</v>
      </c>
      <c r="AF29" s="402" t="s">
        <v>102</v>
      </c>
    </row>
    <row r="30" spans="2:32">
      <c r="B30" s="416" t="s">
        <v>112</v>
      </c>
      <c r="C30" s="100" t="s">
        <v>402</v>
      </c>
      <c r="D30" s="100" t="s">
        <v>115</v>
      </c>
      <c r="E30" s="100" t="s">
        <v>403</v>
      </c>
      <c r="F30" s="330" t="s">
        <v>106</v>
      </c>
      <c r="G30" s="85" t="s">
        <v>399</v>
      </c>
      <c r="H30" s="346">
        <f>'1.1 V2 CH2 T2.4'!$F$43</f>
        <v>56100</v>
      </c>
      <c r="I30" s="347">
        <f>'1.1 V2 CH2 T2.4'!$I$43</f>
        <v>5</v>
      </c>
      <c r="J30" s="347">
        <f>'1.1 V2 CH2 T2.4'!$L$43</f>
        <v>0.1</v>
      </c>
      <c r="K30" s="331">
        <f>0.795/1000</f>
        <v>7.9500000000000003E-4</v>
      </c>
      <c r="L30" s="335" t="s">
        <v>384</v>
      </c>
      <c r="M30" s="137">
        <f>'1.1 y 1.2CUADROA2 - BNE 2020-21'!D$21</f>
        <v>9341</v>
      </c>
      <c r="N30" s="336" t="str">
        <f>'1.1 y 1.2CUADROA2 - BNE 2020-21'!E$21</f>
        <v>kcal/m3</v>
      </c>
      <c r="O30" s="137">
        <f>IF(G30="Gaseoso", M30*$C$9, M30*$C$8)</f>
        <v>8406.9</v>
      </c>
      <c r="P30" s="109" t="str">
        <f t="shared" ref="P30:P32" si="27">N30</f>
        <v>kcal/m3</v>
      </c>
      <c r="Q30" s="403" t="s">
        <v>392</v>
      </c>
      <c r="R30" s="103">
        <f t="shared" si="2"/>
        <v>3.5198008920000004E-5</v>
      </c>
      <c r="S30" s="103" t="str">
        <f>IF(Q30="Sí","TJ/m3", IF(N30="kcal/m3", "TJ/m3","TJ/kg"))</f>
        <v>TJ/m3</v>
      </c>
      <c r="T30" s="103">
        <f>H30*$R30</f>
        <v>1.9746083004120003</v>
      </c>
      <c r="U30" s="103">
        <f t="shared" ref="U30:U32" si="28">I30*$R30</f>
        <v>1.7599004460000002E-4</v>
      </c>
      <c r="V30" s="103">
        <f t="shared" ref="V30:V32" si="29">J30*$R30</f>
        <v>3.5198008920000004E-6</v>
      </c>
      <c r="W30" s="103" t="str">
        <f t="shared" ref="W30:W32" si="30">IF(S30="TJ/m3", "kg GEI/m3", "kg GEI/kg")</f>
        <v>kg GEI/m3</v>
      </c>
      <c r="X30" s="104">
        <f t="shared" ref="X30:X32" si="31">$C$3*T30</f>
        <v>1.9746083004120003</v>
      </c>
      <c r="Y30" s="104">
        <f t="shared" ref="Y30:Y32" si="32">U30*$C$4</f>
        <v>4.9277212488000009E-3</v>
      </c>
      <c r="Z30" s="104">
        <f t="shared" ref="Z30:Z32" si="33">V30*$C$5</f>
        <v>9.3274723638000015E-4</v>
      </c>
      <c r="AA30" s="105" t="str">
        <f t="shared" ref="AA30:AA32" si="34">IF(S30="TJ/m3", "kg CO2e/m3", "kg CO2e/kg")</f>
        <v>kg CO2e/m3</v>
      </c>
      <c r="AB30" s="103">
        <f>SUM(X30:Z30)*IF(AND(F30="gramos",S30="TJ/m3")=TRUE(),1/(K30*1000000),
IF(AND(F30="gramos",S30="TJ/kg")=TRUE(),1/(1000),
IF(AND(F30="kilogramos",S30="TJ/m3")=TRUE(),1/(K30*1000),
IF(AND(F30="toneladas",S30="TJ/m3")=TRUE(),1/K30,
IF(AND(F30="toneladas",S30="TJ/kg")=TRUE(),1000,
IF(AND(S30="TJ/m3",F30="litros")=TRUE(),1/1000,
IF(AND(S30="TJ/kg",F30="litros")=TRUE(),K30/1000,1)))))))</f>
        <v>2491.1556841473962</v>
      </c>
      <c r="AC30" s="404" t="str">
        <f t="shared" si="13"/>
        <v>kgCO2e/toneladas</v>
      </c>
      <c r="AD30" s="72" t="s">
        <v>386</v>
      </c>
      <c r="AE30" s="72" t="s">
        <v>387</v>
      </c>
      <c r="AF30" s="402" t="s">
        <v>404</v>
      </c>
    </row>
    <row r="31" spans="2:32">
      <c r="B31" s="72" t="s">
        <v>112</v>
      </c>
      <c r="C31" s="72" t="s">
        <v>402</v>
      </c>
      <c r="D31" s="72" t="s">
        <v>115</v>
      </c>
      <c r="E31" s="72" t="s">
        <v>403</v>
      </c>
      <c r="F31" s="72" t="s">
        <v>107</v>
      </c>
      <c r="G31" s="72" t="s">
        <v>399</v>
      </c>
      <c r="H31" s="338">
        <f>'1.1 V2 CH2 T2.4'!$F$43</f>
        <v>56100</v>
      </c>
      <c r="I31" s="345">
        <f>'1.1 V2 CH2 T2.4'!$I$43</f>
        <v>5</v>
      </c>
      <c r="J31" s="345">
        <f>'1.1 V2 CH2 T2.4'!$L$43</f>
        <v>0.1</v>
      </c>
      <c r="K31" s="124">
        <f t="shared" ref="K31:K32" si="35">0.795/1000</f>
        <v>7.9500000000000003E-4</v>
      </c>
      <c r="L31" s="108" t="s">
        <v>384</v>
      </c>
      <c r="M31" s="102">
        <f>'1.1 y 1.2CUADROA2 - BNE 2020-21'!D$21</f>
        <v>9341</v>
      </c>
      <c r="N31" s="109" t="str">
        <f>'1.1 y 1.2CUADROA2 - BNE 2020-21'!E$21</f>
        <v>kcal/m3</v>
      </c>
      <c r="O31" s="102">
        <f t="shared" ref="O31:O32" si="36">IF(G31="Gaseoso", M31*$C$9, M31*$C$8)</f>
        <v>8406.9</v>
      </c>
      <c r="P31" s="109" t="str">
        <f t="shared" si="27"/>
        <v>kcal/m3</v>
      </c>
      <c r="Q31" s="403" t="s">
        <v>392</v>
      </c>
      <c r="R31" s="103">
        <f t="shared" si="2"/>
        <v>3.5198008920000004E-5</v>
      </c>
      <c r="S31" s="103" t="str">
        <f>IF(Q31="Sí","TJ/m3", IF(N31="kcal/m3", "TJ/m3","TJ/kg"))</f>
        <v>TJ/m3</v>
      </c>
      <c r="T31" s="103">
        <f t="shared" ref="T31:T32" si="37">H31*$R31</f>
        <v>1.9746083004120003</v>
      </c>
      <c r="U31" s="103">
        <f t="shared" si="28"/>
        <v>1.7599004460000002E-4</v>
      </c>
      <c r="V31" s="103">
        <f t="shared" si="29"/>
        <v>3.5198008920000004E-6</v>
      </c>
      <c r="W31" s="103" t="str">
        <f t="shared" si="30"/>
        <v>kg GEI/m3</v>
      </c>
      <c r="X31" s="104">
        <f t="shared" si="31"/>
        <v>1.9746083004120003</v>
      </c>
      <c r="Y31" s="104">
        <f t="shared" si="32"/>
        <v>4.9277212488000009E-3</v>
      </c>
      <c r="Z31" s="104">
        <f t="shared" si="33"/>
        <v>9.3274723638000015E-4</v>
      </c>
      <c r="AA31" s="105" t="str">
        <f t="shared" si="34"/>
        <v>kg CO2e/m3</v>
      </c>
      <c r="AB31" s="104">
        <f>SUM(X31:Z31)*IF(AND(F31="gramos",S31="TJ/m3")=TRUE(),1/(K31*1000000),
IF(AND(F31="gramos",S31="TJ/kg")=TRUE(),1/(1000),
IF(AND(F31="kilogramos",S31="TJ/m3")=TRUE(),1/(K31*1000),
IF(AND(F31="toneladas",S31="TJ/m3")=TRUE(),1/K31,
IF(AND(F31="toneladas",S31="TJ/kg")=TRUE(),1000,
IF(AND(S31="TJ/m3",F31="litros")=TRUE(),1/1000,
IF(AND(S31="TJ/kg",F31="litros")=TRUE(),K31/1000,1)))))))</f>
        <v>2.4911556841473965</v>
      </c>
      <c r="AC31" s="404" t="str">
        <f t="shared" si="13"/>
        <v>kgCO2e/kilogramos</v>
      </c>
      <c r="AD31" s="72" t="s">
        <v>386</v>
      </c>
      <c r="AE31" s="72" t="s">
        <v>387</v>
      </c>
      <c r="AF31" s="72" t="s">
        <v>404</v>
      </c>
    </row>
    <row r="32" spans="2:32">
      <c r="B32" s="72" t="s">
        <v>112</v>
      </c>
      <c r="C32" s="72" t="s">
        <v>402</v>
      </c>
      <c r="D32" s="72" t="s">
        <v>115</v>
      </c>
      <c r="E32" s="72" t="s">
        <v>403</v>
      </c>
      <c r="F32" s="72" t="s">
        <v>108</v>
      </c>
      <c r="G32" s="72" t="s">
        <v>399</v>
      </c>
      <c r="H32" s="338">
        <f>'1.1 V2 CH2 T2.4'!$F$43</f>
        <v>56100</v>
      </c>
      <c r="I32" s="345">
        <f>'1.1 V2 CH2 T2.4'!$I$43</f>
        <v>5</v>
      </c>
      <c r="J32" s="345">
        <f>'1.1 V2 CH2 T2.4'!$L$43</f>
        <v>0.1</v>
      </c>
      <c r="K32" s="124">
        <f t="shared" si="35"/>
        <v>7.9500000000000003E-4</v>
      </c>
      <c r="L32" s="108" t="s">
        <v>384</v>
      </c>
      <c r="M32" s="102">
        <f>'1.1 y 1.2CUADROA2 - BNE 2020-21'!D$21</f>
        <v>9341</v>
      </c>
      <c r="N32" s="109" t="str">
        <f>'1.1 y 1.2CUADROA2 - BNE 2020-21'!E$21</f>
        <v>kcal/m3</v>
      </c>
      <c r="O32" s="102">
        <f t="shared" si="36"/>
        <v>8406.9</v>
      </c>
      <c r="P32" s="109" t="str">
        <f t="shared" si="27"/>
        <v>kcal/m3</v>
      </c>
      <c r="Q32" s="403" t="s">
        <v>392</v>
      </c>
      <c r="R32" s="103">
        <f t="shared" si="2"/>
        <v>3.5198008920000004E-5</v>
      </c>
      <c r="S32" s="103" t="str">
        <f t="shared" ref="S32" si="38">IF(Q32="Sí","TJ/m3", IF(N32="kcal/m3", "TJ/m3","TJ/kg"))</f>
        <v>TJ/m3</v>
      </c>
      <c r="T32" s="103">
        <f t="shared" si="37"/>
        <v>1.9746083004120003</v>
      </c>
      <c r="U32" s="103">
        <f t="shared" si="28"/>
        <v>1.7599004460000002E-4</v>
      </c>
      <c r="V32" s="103">
        <f t="shared" si="29"/>
        <v>3.5198008920000004E-6</v>
      </c>
      <c r="W32" s="103" t="str">
        <f t="shared" si="30"/>
        <v>kg GEI/m3</v>
      </c>
      <c r="X32" s="104">
        <f t="shared" si="31"/>
        <v>1.9746083004120003</v>
      </c>
      <c r="Y32" s="104">
        <f t="shared" si="32"/>
        <v>4.9277212488000009E-3</v>
      </c>
      <c r="Z32" s="104">
        <f t="shared" si="33"/>
        <v>9.3274723638000015E-4</v>
      </c>
      <c r="AA32" s="105" t="str">
        <f t="shared" si="34"/>
        <v>kg CO2e/m3</v>
      </c>
      <c r="AB32" s="123">
        <f t="shared" si="11"/>
        <v>2.4911556841473964E-3</v>
      </c>
      <c r="AC32" s="404" t="str">
        <f t="shared" si="13"/>
        <v>kgCO2e/gramos</v>
      </c>
      <c r="AD32" s="72" t="s">
        <v>386</v>
      </c>
      <c r="AE32" s="72" t="s">
        <v>387</v>
      </c>
      <c r="AF32" s="72" t="s">
        <v>404</v>
      </c>
    </row>
    <row r="33" spans="2:32">
      <c r="B33" s="72" t="s">
        <v>113</v>
      </c>
      <c r="C33" s="72" t="s">
        <v>405</v>
      </c>
      <c r="D33" s="72" t="s">
        <v>113</v>
      </c>
      <c r="E33" s="72" t="s">
        <v>406</v>
      </c>
      <c r="F33" s="72" t="s">
        <v>103</v>
      </c>
      <c r="G33" s="72" t="s">
        <v>383</v>
      </c>
      <c r="H33" s="338">
        <f>'1.1 V2 CH2 T2.4'!$F$23</f>
        <v>57600</v>
      </c>
      <c r="I33" s="345">
        <f>'1.1 V2 CH2 T2.4'!$I$23</f>
        <v>5</v>
      </c>
      <c r="J33" s="345">
        <f>'1.1 V2 CH2 T2.4'!$L$23</f>
        <v>0.1</v>
      </c>
      <c r="K33" s="109"/>
      <c r="L33" s="109"/>
      <c r="M33" s="102">
        <f>'1.1 y 1.2CUADROA2 - BNE 2020-21'!D$27</f>
        <v>4260</v>
      </c>
      <c r="N33" s="102" t="str">
        <f>'1.1 y 1.2CUADROA2 - BNE 2020-21'!E$27</f>
        <v>kcal/m3</v>
      </c>
      <c r="O33" s="102">
        <f t="shared" ref="O33:O48" si="39">IF(G33="Gaseoso", M33*$C$9, M33*$C$8)</f>
        <v>4047</v>
      </c>
      <c r="P33" s="109" t="str">
        <f t="shared" ref="P33:P48" si="40">N33</f>
        <v>kcal/m3</v>
      </c>
      <c r="Q33" s="109" t="s">
        <v>392</v>
      </c>
      <c r="R33" s="103">
        <f t="shared" si="2"/>
        <v>1.6943979599999998E-5</v>
      </c>
      <c r="S33" s="103" t="str">
        <f t="shared" ref="S33:S48" si="41">IF(Q33="Sí","TJ/m3", IF(N33="kcal/m3", "TJ/m3","TJ/kg"))</f>
        <v>TJ/m3</v>
      </c>
      <c r="T33" s="103">
        <f t="shared" ref="T33:T48" si="42">H33*$R33</f>
        <v>0.97597322495999983</v>
      </c>
      <c r="U33" s="103">
        <f t="shared" ref="U33:U48" si="43">I33*$R33</f>
        <v>8.4719897999999989E-5</v>
      </c>
      <c r="V33" s="103">
        <f t="shared" ref="V33:V48" si="44">J33*$R33</f>
        <v>1.6943979599999998E-6</v>
      </c>
      <c r="W33" s="103" t="str">
        <f t="shared" ref="W33:W48" si="45">IF(S33="TJ/m3", "kg GEI/m3", "kg GEI/kg")</f>
        <v>kg GEI/m3</v>
      </c>
      <c r="X33" s="104">
        <f t="shared" ref="X33:X48" si="46">$C$3*T33</f>
        <v>0.97597322495999983</v>
      </c>
      <c r="Y33" s="328">
        <f t="shared" ref="Y33:Y48" si="47">U33*$C$4</f>
        <v>2.3721571439999996E-3</v>
      </c>
      <c r="Z33" s="328">
        <f t="shared" ref="Z33:Z48" si="48">V33*$C$5</f>
        <v>4.4901545939999996E-4</v>
      </c>
      <c r="AA33" s="105" t="str">
        <f t="shared" ref="AA33:AA48" si="49">IF(S33="TJ/m3", "kg CO2e/m3", "kg CO2e/kg")</f>
        <v>kg CO2e/m3</v>
      </c>
      <c r="AB33" s="104">
        <f t="shared" si="11"/>
        <v>0.97879439756339981</v>
      </c>
      <c r="AC33" s="404" t="str">
        <f t="shared" si="13"/>
        <v>kgCO2e/metros cúbicos</v>
      </c>
      <c r="AD33" s="72" t="s">
        <v>386</v>
      </c>
      <c r="AE33" s="72" t="s">
        <v>387</v>
      </c>
      <c r="AF33" s="402" t="s">
        <v>102</v>
      </c>
    </row>
    <row r="34" spans="2:32">
      <c r="B34" s="72" t="s">
        <v>113</v>
      </c>
      <c r="C34" s="72" t="s">
        <v>405</v>
      </c>
      <c r="D34" s="72" t="s">
        <v>113</v>
      </c>
      <c r="E34" s="72" t="s">
        <v>406</v>
      </c>
      <c r="F34" s="72" t="s">
        <v>104</v>
      </c>
      <c r="G34" s="72" t="s">
        <v>383</v>
      </c>
      <c r="H34" s="338">
        <f>'1.1 V2 CH2 T2.4'!$F$23</f>
        <v>57600</v>
      </c>
      <c r="I34" s="345">
        <f>'1.1 V2 CH2 T2.4'!$I$23</f>
        <v>5</v>
      </c>
      <c r="J34" s="345">
        <f>'1.1 V2 CH2 T2.4'!$L$23</f>
        <v>0.1</v>
      </c>
      <c r="K34" s="109"/>
      <c r="L34" s="109"/>
      <c r="M34" s="102">
        <f>'1.1 y 1.2CUADROA2 - BNE 2020-21'!D$27</f>
        <v>4260</v>
      </c>
      <c r="N34" s="102" t="str">
        <f>'1.1 y 1.2CUADROA2 - BNE 2020-21'!E$27</f>
        <v>kcal/m3</v>
      </c>
      <c r="O34" s="102">
        <f t="shared" si="39"/>
        <v>4047</v>
      </c>
      <c r="P34" s="109" t="str">
        <f t="shared" si="40"/>
        <v>kcal/m3</v>
      </c>
      <c r="Q34" s="109" t="s">
        <v>392</v>
      </c>
      <c r="R34" s="103">
        <f t="shared" si="2"/>
        <v>1.6943979599999998E-5</v>
      </c>
      <c r="S34" s="103" t="str">
        <f t="shared" si="41"/>
        <v>TJ/m3</v>
      </c>
      <c r="T34" s="103">
        <f t="shared" si="42"/>
        <v>0.97597322495999983</v>
      </c>
      <c r="U34" s="103">
        <f t="shared" si="43"/>
        <v>8.4719897999999989E-5</v>
      </c>
      <c r="V34" s="103">
        <f t="shared" si="44"/>
        <v>1.6943979599999998E-6</v>
      </c>
      <c r="W34" s="103" t="str">
        <f t="shared" si="45"/>
        <v>kg GEI/m3</v>
      </c>
      <c r="X34" s="104">
        <f t="shared" si="46"/>
        <v>0.97597322495999983</v>
      </c>
      <c r="Y34" s="328">
        <f t="shared" si="47"/>
        <v>2.3721571439999996E-3</v>
      </c>
      <c r="Z34" s="328">
        <f t="shared" si="48"/>
        <v>4.4901545939999996E-4</v>
      </c>
      <c r="AA34" s="105" t="str">
        <f t="shared" si="49"/>
        <v>kg CO2e/m3</v>
      </c>
      <c r="AB34" s="162">
        <f t="shared" si="11"/>
        <v>9.787943975633998E-4</v>
      </c>
      <c r="AC34" s="404" t="str">
        <f t="shared" si="13"/>
        <v>kgCO2e/litros</v>
      </c>
      <c r="AD34" s="72" t="s">
        <v>386</v>
      </c>
      <c r="AE34" s="72" t="s">
        <v>387</v>
      </c>
      <c r="AF34" s="402" t="s">
        <v>102</v>
      </c>
    </row>
    <row r="35" spans="2:32">
      <c r="B35" s="72" t="s">
        <v>114</v>
      </c>
      <c r="C35" s="72" t="s">
        <v>407</v>
      </c>
      <c r="D35" s="72" t="s">
        <v>408</v>
      </c>
      <c r="E35" s="72" t="s">
        <v>409</v>
      </c>
      <c r="F35" s="72" t="s">
        <v>103</v>
      </c>
      <c r="G35" s="72" t="s">
        <v>399</v>
      </c>
      <c r="H35" s="338">
        <f>'1.1 V2 CH2 T2.4'!$F$16</f>
        <v>63100</v>
      </c>
      <c r="I35" s="345">
        <f>'1.1 V2 CH2 T2.4'!$I$16</f>
        <v>5</v>
      </c>
      <c r="J35" s="345">
        <f>'1.1 V2 CH2 T2.4'!$L$16</f>
        <v>0.1</v>
      </c>
      <c r="K35" s="352">
        <f>'1.1 y 1.2CUADROA2 - BNE 2020-21'!$C$15</f>
        <v>0.55000000000000004</v>
      </c>
      <c r="L35" s="109" t="s">
        <v>384</v>
      </c>
      <c r="M35" s="102">
        <f>'1.1 y 1.2CUADROA2 - BNE 2020-21'!D$15</f>
        <v>12100</v>
      </c>
      <c r="N35" s="102" t="str">
        <f>'1.1 y 1.2CUADROA2 - BNE 2020-21'!E$15</f>
        <v>kcal/kg</v>
      </c>
      <c r="O35" s="102">
        <f>IF(G35="Gaseoso", M35*$C$9, M35*$C$8)</f>
        <v>10890</v>
      </c>
      <c r="P35" s="109" t="str">
        <f t="shared" si="40"/>
        <v>kcal/kg</v>
      </c>
      <c r="Q35" s="109" t="s">
        <v>385</v>
      </c>
      <c r="R35" s="103">
        <f t="shared" si="2"/>
        <v>2.5076838600000002E-2</v>
      </c>
      <c r="S35" s="103" t="str">
        <f t="shared" si="41"/>
        <v>TJ/m3</v>
      </c>
      <c r="T35" s="103">
        <f t="shared" si="42"/>
        <v>1582.3485156600002</v>
      </c>
      <c r="U35" s="103">
        <f t="shared" si="43"/>
        <v>0.125384193</v>
      </c>
      <c r="V35" s="103">
        <f t="shared" si="44"/>
        <v>2.5076838600000002E-3</v>
      </c>
      <c r="W35" s="103" t="str">
        <f t="shared" si="45"/>
        <v>kg GEI/m3</v>
      </c>
      <c r="X35" s="103">
        <f t="shared" si="46"/>
        <v>1582.3485156600002</v>
      </c>
      <c r="Y35" s="104">
        <f t="shared" si="47"/>
        <v>3.510757404</v>
      </c>
      <c r="Z35" s="104">
        <f t="shared" si="48"/>
        <v>0.66453622290000003</v>
      </c>
      <c r="AA35" s="105" t="str">
        <f t="shared" si="49"/>
        <v>kg CO2e/m3</v>
      </c>
      <c r="AB35" s="103">
        <f t="shared" si="11"/>
        <v>1586.5238092869004</v>
      </c>
      <c r="AC35" s="404" t="str">
        <f t="shared" si="13"/>
        <v>kgCO2e/metros cúbicos</v>
      </c>
      <c r="AD35" s="72" t="s">
        <v>386</v>
      </c>
      <c r="AE35" s="72" t="s">
        <v>387</v>
      </c>
      <c r="AF35" s="402" t="s">
        <v>102</v>
      </c>
    </row>
    <row r="36" spans="2:32">
      <c r="B36" s="72" t="s">
        <v>114</v>
      </c>
      <c r="C36" s="72" t="s">
        <v>407</v>
      </c>
      <c r="D36" s="72" t="s">
        <v>408</v>
      </c>
      <c r="E36" s="72" t="s">
        <v>409</v>
      </c>
      <c r="F36" s="72" t="s">
        <v>104</v>
      </c>
      <c r="G36" s="72" t="s">
        <v>399</v>
      </c>
      <c r="H36" s="338">
        <f>'1.1 V2 CH2 T2.4'!$F$16</f>
        <v>63100</v>
      </c>
      <c r="I36" s="345">
        <f>'1.1 V2 CH2 T2.4'!$I$16</f>
        <v>5</v>
      </c>
      <c r="J36" s="345">
        <f>'1.1 V2 CH2 T2.4'!$L$16</f>
        <v>0.1</v>
      </c>
      <c r="K36" s="109">
        <f>'1.1 y 1.2CUADROA2 - BNE 2020-21'!$C$15</f>
        <v>0.55000000000000004</v>
      </c>
      <c r="L36" s="109" t="s">
        <v>384</v>
      </c>
      <c r="M36" s="102">
        <f>'1.1 y 1.2CUADROA2 - BNE 2020-21'!D$15</f>
        <v>12100</v>
      </c>
      <c r="N36" s="102" t="str">
        <f>'1.1 y 1.2CUADROA2 - BNE 2020-21'!E$15</f>
        <v>kcal/kg</v>
      </c>
      <c r="O36" s="102">
        <f t="shared" si="39"/>
        <v>10890</v>
      </c>
      <c r="P36" s="109" t="str">
        <f t="shared" si="40"/>
        <v>kcal/kg</v>
      </c>
      <c r="Q36" s="109" t="s">
        <v>385</v>
      </c>
      <c r="R36" s="103">
        <f t="shared" si="2"/>
        <v>2.5076838600000002E-2</v>
      </c>
      <c r="S36" s="103" t="str">
        <f t="shared" si="41"/>
        <v>TJ/m3</v>
      </c>
      <c r="T36" s="103">
        <f t="shared" si="42"/>
        <v>1582.3485156600002</v>
      </c>
      <c r="U36" s="103">
        <f t="shared" si="43"/>
        <v>0.125384193</v>
      </c>
      <c r="V36" s="103">
        <f t="shared" si="44"/>
        <v>2.5076838600000002E-3</v>
      </c>
      <c r="W36" s="103" t="str">
        <f t="shared" si="45"/>
        <v>kg GEI/m3</v>
      </c>
      <c r="X36" s="103">
        <f t="shared" si="46"/>
        <v>1582.3485156600002</v>
      </c>
      <c r="Y36" s="104">
        <f t="shared" si="47"/>
        <v>3.510757404</v>
      </c>
      <c r="Z36" s="104">
        <f t="shared" si="48"/>
        <v>0.66453622290000003</v>
      </c>
      <c r="AA36" s="105" t="str">
        <f t="shared" si="49"/>
        <v>kg CO2e/m3</v>
      </c>
      <c r="AB36" s="103">
        <f t="shared" si="11"/>
        <v>1.5865238092869003</v>
      </c>
      <c r="AC36" s="404" t="str">
        <f t="shared" si="13"/>
        <v>kgCO2e/litros</v>
      </c>
      <c r="AD36" s="72" t="s">
        <v>386</v>
      </c>
      <c r="AE36" s="72" t="s">
        <v>387</v>
      </c>
      <c r="AF36" s="402" t="s">
        <v>102</v>
      </c>
    </row>
    <row r="37" spans="2:32">
      <c r="B37" s="332" t="s">
        <v>115</v>
      </c>
      <c r="C37" s="332" t="s">
        <v>402</v>
      </c>
      <c r="D37" s="332" t="s">
        <v>115</v>
      </c>
      <c r="E37" s="332" t="s">
        <v>403</v>
      </c>
      <c r="F37" s="333" t="s">
        <v>103</v>
      </c>
      <c r="G37" s="334" t="s">
        <v>399</v>
      </c>
      <c r="H37" s="348">
        <f>'1.1 V2 CH2 T2.4'!$F$43</f>
        <v>56100</v>
      </c>
      <c r="I37" s="349">
        <f>'1.1 V2 CH2 T2.4'!$I$43</f>
        <v>5</v>
      </c>
      <c r="J37" s="349">
        <f>'1.1 V2 CH2 T2.4'!$L$43</f>
        <v>0.1</v>
      </c>
      <c r="K37" s="124">
        <f>0.795/1000</f>
        <v>7.9500000000000003E-4</v>
      </c>
      <c r="L37" s="108" t="s">
        <v>384</v>
      </c>
      <c r="M37" s="102">
        <f>'1.1 y 1.2CUADROA2 - BNE 2020-21'!D$21</f>
        <v>9341</v>
      </c>
      <c r="N37" s="102" t="str">
        <f>'1.1 y 1.2CUADROA2 - BNE 2020-21'!E$21</f>
        <v>kcal/m3</v>
      </c>
      <c r="O37" s="102">
        <f t="shared" si="39"/>
        <v>8406.9</v>
      </c>
      <c r="P37" s="109" t="str">
        <f t="shared" si="40"/>
        <v>kcal/m3</v>
      </c>
      <c r="Q37" s="109" t="s">
        <v>392</v>
      </c>
      <c r="R37" s="103">
        <f t="shared" si="2"/>
        <v>3.5198008920000004E-5</v>
      </c>
      <c r="S37" s="103" t="str">
        <f t="shared" si="41"/>
        <v>TJ/m3</v>
      </c>
      <c r="T37" s="103">
        <f>H37*$R37</f>
        <v>1.9746083004120003</v>
      </c>
      <c r="U37" s="103">
        <f t="shared" si="43"/>
        <v>1.7599004460000002E-4</v>
      </c>
      <c r="V37" s="103">
        <f t="shared" si="44"/>
        <v>3.5198008920000004E-6</v>
      </c>
      <c r="W37" s="103" t="str">
        <f t="shared" si="45"/>
        <v>kg GEI/m3</v>
      </c>
      <c r="X37" s="104">
        <f t="shared" si="46"/>
        <v>1.9746083004120003</v>
      </c>
      <c r="Y37" s="104">
        <f t="shared" si="47"/>
        <v>4.9277212488000009E-3</v>
      </c>
      <c r="Z37" s="328">
        <f t="shared" si="48"/>
        <v>9.3274723638000015E-4</v>
      </c>
      <c r="AA37" s="105" t="str">
        <f t="shared" si="49"/>
        <v>kg CO2e/m3</v>
      </c>
      <c r="AB37" s="103">
        <f t="shared" si="11"/>
        <v>1.9804687688971803</v>
      </c>
      <c r="AC37" s="404" t="str">
        <f t="shared" si="13"/>
        <v>kgCO2e/metros cúbicos</v>
      </c>
      <c r="AD37" s="72" t="s">
        <v>386</v>
      </c>
      <c r="AE37" s="72" t="s">
        <v>387</v>
      </c>
      <c r="AF37" s="72" t="s">
        <v>404</v>
      </c>
    </row>
    <row r="38" spans="2:32">
      <c r="B38" s="72" t="s">
        <v>116</v>
      </c>
      <c r="C38" s="72" t="s">
        <v>116</v>
      </c>
      <c r="D38" s="72" t="s">
        <v>410</v>
      </c>
      <c r="E38" s="72" t="s">
        <v>411</v>
      </c>
      <c r="F38" s="96" t="s">
        <v>103</v>
      </c>
      <c r="G38" s="79" t="s">
        <v>383</v>
      </c>
      <c r="H38" s="350">
        <f>'1.1 V2 CH2 T2.4'!$F$12</f>
        <v>71900</v>
      </c>
      <c r="I38" s="351">
        <f>'1.1 V2 CH2 T2.4'!$I$12</f>
        <v>10</v>
      </c>
      <c r="J38" s="351">
        <f>'1.1 V2 CH2 T2.4'!$L$12</f>
        <v>0.6</v>
      </c>
      <c r="K38" s="109">
        <f>'1.1 y 1.2CUADROA2 - BNE 2020-21'!$C$19</f>
        <v>0.81</v>
      </c>
      <c r="L38" s="109" t="s">
        <v>384</v>
      </c>
      <c r="M38" s="102">
        <f>'1.1 y 1.2CUADROA2 - BNE 2020-21'!D$19</f>
        <v>11100</v>
      </c>
      <c r="N38" s="102" t="str">
        <f>'1.1 y 1.2CUADROA2 - BNE 2020-21'!E$19</f>
        <v>kcal/kg</v>
      </c>
      <c r="O38" s="102">
        <f t="shared" si="39"/>
        <v>10545</v>
      </c>
      <c r="P38" s="109" t="str">
        <f t="shared" si="40"/>
        <v>kcal/kg</v>
      </c>
      <c r="Q38" s="109" t="s">
        <v>385</v>
      </c>
      <c r="R38" s="103">
        <f t="shared" si="2"/>
        <v>3.5761342859999996E-2</v>
      </c>
      <c r="S38" s="103" t="str">
        <f t="shared" si="41"/>
        <v>TJ/m3</v>
      </c>
      <c r="T38" s="103">
        <f t="shared" si="42"/>
        <v>2571.2405516339995</v>
      </c>
      <c r="U38" s="103">
        <f t="shared" si="43"/>
        <v>0.35761342859999995</v>
      </c>
      <c r="V38" s="103">
        <f t="shared" si="44"/>
        <v>2.1456805715999998E-2</v>
      </c>
      <c r="W38" s="103" t="str">
        <f t="shared" si="45"/>
        <v>kg GEI/m3</v>
      </c>
      <c r="X38" s="103">
        <f t="shared" si="46"/>
        <v>2571.2405516339995</v>
      </c>
      <c r="Y38" s="104">
        <f t="shared" si="47"/>
        <v>10.013176000799998</v>
      </c>
      <c r="Z38" s="104">
        <f t="shared" si="48"/>
        <v>5.6860535147399993</v>
      </c>
      <c r="AA38" s="105" t="str">
        <f t="shared" si="49"/>
        <v>kg CO2e/m3</v>
      </c>
      <c r="AB38" s="103">
        <f t="shared" si="11"/>
        <v>2586.9397811495392</v>
      </c>
      <c r="AC38" s="404" t="str">
        <f t="shared" si="13"/>
        <v>kgCO2e/metros cúbicos</v>
      </c>
      <c r="AD38" s="72" t="s">
        <v>386</v>
      </c>
      <c r="AE38" s="72" t="s">
        <v>387</v>
      </c>
      <c r="AF38" s="402" t="s">
        <v>102</v>
      </c>
    </row>
    <row r="39" spans="2:32">
      <c r="B39" s="72" t="s">
        <v>116</v>
      </c>
      <c r="C39" s="72" t="s">
        <v>116</v>
      </c>
      <c r="D39" s="72" t="s">
        <v>410</v>
      </c>
      <c r="E39" s="72" t="s">
        <v>411</v>
      </c>
      <c r="F39" s="96" t="s">
        <v>104</v>
      </c>
      <c r="G39" s="79" t="s">
        <v>383</v>
      </c>
      <c r="H39" s="350">
        <f>'1.1 V2 CH2 T2.4'!$F$12</f>
        <v>71900</v>
      </c>
      <c r="I39" s="351">
        <f>'1.1 V2 CH2 T2.4'!$I$12</f>
        <v>10</v>
      </c>
      <c r="J39" s="351">
        <f>'1.1 V2 CH2 T2.4'!$L$12</f>
        <v>0.6</v>
      </c>
      <c r="K39" s="109">
        <f>'1.1 y 1.2CUADROA2 - BNE 2020-21'!$C$19</f>
        <v>0.81</v>
      </c>
      <c r="L39" s="109" t="s">
        <v>384</v>
      </c>
      <c r="M39" s="102">
        <f>'1.1 y 1.2CUADROA2 - BNE 2020-21'!D$19</f>
        <v>11100</v>
      </c>
      <c r="N39" s="102" t="str">
        <f>'1.1 y 1.2CUADROA2 - BNE 2020-21'!E$19</f>
        <v>kcal/kg</v>
      </c>
      <c r="O39" s="102">
        <f t="shared" si="39"/>
        <v>10545</v>
      </c>
      <c r="P39" s="109" t="str">
        <f t="shared" si="40"/>
        <v>kcal/kg</v>
      </c>
      <c r="Q39" s="403" t="s">
        <v>385</v>
      </c>
      <c r="R39" s="103">
        <f t="shared" si="2"/>
        <v>3.5761342859999996E-2</v>
      </c>
      <c r="S39" s="103" t="str">
        <f t="shared" si="41"/>
        <v>TJ/m3</v>
      </c>
      <c r="T39" s="103">
        <f t="shared" si="42"/>
        <v>2571.2405516339995</v>
      </c>
      <c r="U39" s="103">
        <f t="shared" si="43"/>
        <v>0.35761342859999995</v>
      </c>
      <c r="V39" s="103">
        <f t="shared" si="44"/>
        <v>2.1456805715999998E-2</v>
      </c>
      <c r="W39" s="103" t="str">
        <f t="shared" si="45"/>
        <v>kg GEI/m3</v>
      </c>
      <c r="X39" s="103">
        <f t="shared" si="46"/>
        <v>2571.2405516339995</v>
      </c>
      <c r="Y39" s="104">
        <f t="shared" si="47"/>
        <v>10.013176000799998</v>
      </c>
      <c r="Z39" s="104">
        <f t="shared" si="48"/>
        <v>5.6860535147399993</v>
      </c>
      <c r="AA39" s="105" t="str">
        <f t="shared" si="49"/>
        <v>kg CO2e/m3</v>
      </c>
      <c r="AB39" s="103">
        <f t="shared" si="11"/>
        <v>2.5869397811495394</v>
      </c>
      <c r="AC39" s="404" t="str">
        <f t="shared" si="13"/>
        <v>kgCO2e/litros</v>
      </c>
      <c r="AD39" s="72" t="s">
        <v>386</v>
      </c>
      <c r="AE39" s="72" t="s">
        <v>387</v>
      </c>
      <c r="AF39" s="402" t="s">
        <v>102</v>
      </c>
    </row>
    <row r="40" spans="2:32">
      <c r="B40" s="72" t="s">
        <v>117</v>
      </c>
      <c r="C40" s="72" t="s">
        <v>412</v>
      </c>
      <c r="D40" s="72" t="s">
        <v>413</v>
      </c>
      <c r="E40" s="72" t="s">
        <v>414</v>
      </c>
      <c r="F40" s="96" t="s">
        <v>106</v>
      </c>
      <c r="G40" s="79" t="s">
        <v>391</v>
      </c>
      <c r="H40" s="350">
        <f>'1.1 V2 CH2 T2.4'!$F$21</f>
        <v>97500</v>
      </c>
      <c r="I40" s="351">
        <f>'1.1 V2 CH2 T2.4'!$I$21</f>
        <v>10</v>
      </c>
      <c r="J40" s="351">
        <f>'1.1 V2 CH2 T2.4'!$L$21</f>
        <v>0.6</v>
      </c>
      <c r="K40" s="109"/>
      <c r="L40" s="109"/>
      <c r="M40" s="102">
        <f>'1.1 y 1.2CUADROA2 - BNE 2020-21'!D$25</f>
        <v>8100</v>
      </c>
      <c r="N40" s="102" t="str">
        <f>'1.1 y 1.2CUADROA2 - BNE 2020-21'!E$25</f>
        <v>kcal/kg</v>
      </c>
      <c r="O40" s="102">
        <f t="shared" si="39"/>
        <v>7695</v>
      </c>
      <c r="P40" s="109" t="str">
        <f t="shared" si="40"/>
        <v>kcal/kg</v>
      </c>
      <c r="Q40" s="109" t="s">
        <v>392</v>
      </c>
      <c r="R40" s="103">
        <f t="shared" si="2"/>
        <v>3.2217425999999999E-5</v>
      </c>
      <c r="S40" s="103" t="str">
        <f t="shared" si="41"/>
        <v>TJ/kg</v>
      </c>
      <c r="T40" s="103">
        <f t="shared" si="42"/>
        <v>3.1411990350000001</v>
      </c>
      <c r="U40" s="103">
        <f t="shared" si="43"/>
        <v>3.2217425999999999E-4</v>
      </c>
      <c r="V40" s="103">
        <f t="shared" si="44"/>
        <v>1.9330455599999997E-5</v>
      </c>
      <c r="W40" s="103" t="str">
        <f t="shared" si="45"/>
        <v>kg GEI/kg</v>
      </c>
      <c r="X40" s="104">
        <f t="shared" si="46"/>
        <v>3.1411990350000001</v>
      </c>
      <c r="Y40" s="104">
        <f t="shared" si="47"/>
        <v>9.0208792799999996E-3</v>
      </c>
      <c r="Z40" s="328">
        <f t="shared" si="48"/>
        <v>5.1225707339999996E-3</v>
      </c>
      <c r="AA40" s="105" t="str">
        <f t="shared" si="49"/>
        <v>kg CO2e/kg</v>
      </c>
      <c r="AB40" s="103">
        <f t="shared" si="11"/>
        <v>3155.342485014</v>
      </c>
      <c r="AC40" s="404" t="str">
        <f t="shared" si="13"/>
        <v>kgCO2e/toneladas</v>
      </c>
      <c r="AD40" s="72" t="s">
        <v>386</v>
      </c>
      <c r="AE40" s="72" t="s">
        <v>387</v>
      </c>
      <c r="AF40" s="402" t="s">
        <v>102</v>
      </c>
    </row>
    <row r="41" spans="2:32">
      <c r="B41" s="72" t="s">
        <v>117</v>
      </c>
      <c r="C41" s="72" t="s">
        <v>412</v>
      </c>
      <c r="D41" s="72" t="s">
        <v>413</v>
      </c>
      <c r="E41" s="72" t="s">
        <v>414</v>
      </c>
      <c r="F41" s="96" t="s">
        <v>107</v>
      </c>
      <c r="G41" s="79" t="s">
        <v>391</v>
      </c>
      <c r="H41" s="350">
        <f>'1.1 V2 CH2 T2.4'!$F$21</f>
        <v>97500</v>
      </c>
      <c r="I41" s="351">
        <f>'1.1 V2 CH2 T2.4'!$I$21</f>
        <v>10</v>
      </c>
      <c r="J41" s="351">
        <f>'1.1 V2 CH2 T2.4'!$L$21</f>
        <v>0.6</v>
      </c>
      <c r="K41" s="109"/>
      <c r="L41" s="109"/>
      <c r="M41" s="102">
        <f>'1.1 y 1.2CUADROA2 - BNE 2020-21'!D$25</f>
        <v>8100</v>
      </c>
      <c r="N41" s="102" t="str">
        <f>'1.1 y 1.2CUADROA2 - BNE 2020-21'!E$25</f>
        <v>kcal/kg</v>
      </c>
      <c r="O41" s="102">
        <f t="shared" si="39"/>
        <v>7695</v>
      </c>
      <c r="P41" s="109" t="str">
        <f t="shared" si="40"/>
        <v>kcal/kg</v>
      </c>
      <c r="Q41" s="109" t="s">
        <v>392</v>
      </c>
      <c r="R41" s="103">
        <f t="shared" si="2"/>
        <v>3.2217425999999999E-5</v>
      </c>
      <c r="S41" s="103" t="str">
        <f t="shared" si="41"/>
        <v>TJ/kg</v>
      </c>
      <c r="T41" s="103">
        <f t="shared" si="42"/>
        <v>3.1411990350000001</v>
      </c>
      <c r="U41" s="103">
        <f t="shared" si="43"/>
        <v>3.2217425999999999E-4</v>
      </c>
      <c r="V41" s="103">
        <f t="shared" si="44"/>
        <v>1.9330455599999997E-5</v>
      </c>
      <c r="W41" s="103" t="str">
        <f t="shared" si="45"/>
        <v>kg GEI/kg</v>
      </c>
      <c r="X41" s="104">
        <f t="shared" si="46"/>
        <v>3.1411990350000001</v>
      </c>
      <c r="Y41" s="104">
        <f t="shared" si="47"/>
        <v>9.0208792799999996E-3</v>
      </c>
      <c r="Z41" s="328">
        <f t="shared" si="48"/>
        <v>5.1225707339999996E-3</v>
      </c>
      <c r="AA41" s="105" t="str">
        <f t="shared" si="49"/>
        <v>kg CO2e/kg</v>
      </c>
      <c r="AB41" s="328">
        <f t="shared" si="11"/>
        <v>3.1553424850140002</v>
      </c>
      <c r="AC41" s="404" t="str">
        <f t="shared" si="13"/>
        <v>kgCO2e/kilogramos</v>
      </c>
      <c r="AD41" s="72" t="s">
        <v>386</v>
      </c>
      <c r="AE41" s="72" t="s">
        <v>387</v>
      </c>
      <c r="AF41" s="474" t="s">
        <v>102</v>
      </c>
    </row>
    <row r="42" spans="2:32">
      <c r="B42" s="72" t="s">
        <v>117</v>
      </c>
      <c r="C42" s="72" t="s">
        <v>412</v>
      </c>
      <c r="D42" s="72" t="s">
        <v>413</v>
      </c>
      <c r="E42" s="72" t="s">
        <v>414</v>
      </c>
      <c r="F42" s="96" t="s">
        <v>108</v>
      </c>
      <c r="G42" s="79" t="s">
        <v>391</v>
      </c>
      <c r="H42" s="350">
        <f>'1.1 V2 CH2 T2.4'!$F$21</f>
        <v>97500</v>
      </c>
      <c r="I42" s="351">
        <f>'1.1 V2 CH2 T2.4'!$I$21</f>
        <v>10</v>
      </c>
      <c r="J42" s="351">
        <f>'1.1 V2 CH2 T2.4'!$L$21</f>
        <v>0.6</v>
      </c>
      <c r="K42" s="109"/>
      <c r="L42" s="109"/>
      <c r="M42" s="102">
        <f>'1.1 y 1.2CUADROA2 - BNE 2020-21'!D$25</f>
        <v>8100</v>
      </c>
      <c r="N42" s="102" t="str">
        <f>'1.1 y 1.2CUADROA2 - BNE 2020-21'!E$25</f>
        <v>kcal/kg</v>
      </c>
      <c r="O42" s="102">
        <f t="shared" si="39"/>
        <v>7695</v>
      </c>
      <c r="P42" s="109" t="str">
        <f t="shared" si="40"/>
        <v>kcal/kg</v>
      </c>
      <c r="Q42" s="109" t="s">
        <v>392</v>
      </c>
      <c r="R42" s="103">
        <f t="shared" si="2"/>
        <v>3.2217425999999999E-5</v>
      </c>
      <c r="S42" s="103" t="str">
        <f t="shared" si="41"/>
        <v>TJ/kg</v>
      </c>
      <c r="T42" s="103">
        <f t="shared" si="42"/>
        <v>3.1411990350000001</v>
      </c>
      <c r="U42" s="103">
        <f t="shared" si="43"/>
        <v>3.2217425999999999E-4</v>
      </c>
      <c r="V42" s="103">
        <f t="shared" si="44"/>
        <v>1.9330455599999997E-5</v>
      </c>
      <c r="W42" s="103" t="str">
        <f t="shared" si="45"/>
        <v>kg GEI/kg</v>
      </c>
      <c r="X42" s="104">
        <f t="shared" si="46"/>
        <v>3.1411990350000001</v>
      </c>
      <c r="Y42" s="104">
        <f t="shared" si="47"/>
        <v>9.0208792799999996E-3</v>
      </c>
      <c r="Z42" s="328">
        <f t="shared" si="48"/>
        <v>5.1225707339999996E-3</v>
      </c>
      <c r="AA42" s="105" t="str">
        <f t="shared" si="49"/>
        <v>kg CO2e/kg</v>
      </c>
      <c r="AB42" s="162">
        <f t="shared" si="11"/>
        <v>3.1553424850140001E-3</v>
      </c>
      <c r="AC42" s="404" t="str">
        <f t="shared" si="13"/>
        <v>kgCO2e/gramos</v>
      </c>
      <c r="AD42" s="72" t="s">
        <v>386</v>
      </c>
      <c r="AE42" s="72" t="s">
        <v>387</v>
      </c>
      <c r="AF42" s="402" t="s">
        <v>102</v>
      </c>
    </row>
    <row r="43" spans="2:32">
      <c r="B43" s="72" t="s">
        <v>118</v>
      </c>
      <c r="C43" s="72" t="s">
        <v>415</v>
      </c>
      <c r="D43" s="72" t="s">
        <v>416</v>
      </c>
      <c r="E43" s="72" t="s">
        <v>416</v>
      </c>
      <c r="F43" s="96" t="s">
        <v>103</v>
      </c>
      <c r="G43" s="79" t="s">
        <v>383</v>
      </c>
      <c r="H43" s="350">
        <f>'1.1 V2 CH2 T2.4'!$F$14</f>
        <v>74100</v>
      </c>
      <c r="I43" s="351">
        <f>'1.1 V2 CH2 T2.4'!$I$14</f>
        <v>10</v>
      </c>
      <c r="J43" s="351">
        <f>'1.1 V2 CH2 T2.4'!$L$14</f>
        <v>0.6</v>
      </c>
      <c r="K43" s="109">
        <f>'1.1 y 1.2CUADROA2 - BNE 2020-21'!$C$20</f>
        <v>0.84</v>
      </c>
      <c r="L43" s="109" t="s">
        <v>384</v>
      </c>
      <c r="M43" s="102">
        <f>'1.1 y 1.2CUADROA2 - BNE 2020-21'!D$20</f>
        <v>10900</v>
      </c>
      <c r="N43" s="102" t="str">
        <f>'1.1 y 1.2CUADROA2 - BNE 2020-21'!E$20</f>
        <v>kcal/kg</v>
      </c>
      <c r="O43" s="102">
        <f>IF(G43="Gaseoso", M43*$C$9, M43*$C$8)</f>
        <v>10355</v>
      </c>
      <c r="P43" s="109" t="str">
        <f t="shared" si="40"/>
        <v>kcal/kg</v>
      </c>
      <c r="Q43" s="109" t="s">
        <v>385</v>
      </c>
      <c r="R43" s="103">
        <f t="shared" si="2"/>
        <v>3.6417623759999997E-2</v>
      </c>
      <c r="S43" s="103" t="str">
        <f>IF(Q43="Sí","TJ/m3", IF(N43="kcal/m3", "TJ/m3","TJ/kg"))</f>
        <v>TJ/m3</v>
      </c>
      <c r="T43" s="103">
        <f>H43*$R43</f>
        <v>2698.5459206159999</v>
      </c>
      <c r="U43" s="103">
        <f>I43*$R43</f>
        <v>0.36417623759999995</v>
      </c>
      <c r="V43" s="103">
        <f t="shared" si="44"/>
        <v>2.1850574255999997E-2</v>
      </c>
      <c r="W43" s="103" t="str">
        <f>IF(S43="TJ/m3", "kg GEI/m3", "kg GEI/kg")</f>
        <v>kg GEI/m3</v>
      </c>
      <c r="X43" s="103">
        <f>$C$3*T43</f>
        <v>2698.5459206159999</v>
      </c>
      <c r="Y43" s="104">
        <f>U43*$C$4</f>
        <v>10.1969346528</v>
      </c>
      <c r="Z43" s="104">
        <f t="shared" si="48"/>
        <v>5.790402177839999</v>
      </c>
      <c r="AA43" s="105" t="str">
        <f>IF(S43="TJ/m3", "kg CO2e/m3", "kg CO2e/kg")</f>
        <v>kg CO2e/m3</v>
      </c>
      <c r="AB43" s="103">
        <f t="shared" si="11"/>
        <v>2714.5332574466397</v>
      </c>
      <c r="AC43" s="404" t="str">
        <f t="shared" si="13"/>
        <v>kgCO2e/metros cúbicos</v>
      </c>
      <c r="AD43" s="72" t="s">
        <v>386</v>
      </c>
      <c r="AE43" s="72" t="s">
        <v>387</v>
      </c>
      <c r="AF43" s="402" t="s">
        <v>102</v>
      </c>
    </row>
    <row r="44" spans="2:32">
      <c r="B44" s="72" t="s">
        <v>118</v>
      </c>
      <c r="C44" s="72" t="s">
        <v>415</v>
      </c>
      <c r="D44" s="72" t="s">
        <v>416</v>
      </c>
      <c r="E44" s="72" t="s">
        <v>416</v>
      </c>
      <c r="F44" s="96" t="s">
        <v>104</v>
      </c>
      <c r="G44" s="79" t="s">
        <v>383</v>
      </c>
      <c r="H44" s="350">
        <f>'1.1 V2 CH2 T2.4'!$F$14</f>
        <v>74100</v>
      </c>
      <c r="I44" s="351">
        <f>'1.1 V2 CH2 T2.4'!$I$14</f>
        <v>10</v>
      </c>
      <c r="J44" s="351">
        <f>'1.1 V2 CH2 T2.4'!$L$14</f>
        <v>0.6</v>
      </c>
      <c r="K44" s="109">
        <f>'1.1 y 1.2CUADROA2 - BNE 2020-21'!$C$20</f>
        <v>0.84</v>
      </c>
      <c r="L44" s="109" t="s">
        <v>384</v>
      </c>
      <c r="M44" s="102">
        <f>'1.1 y 1.2CUADROA2 - BNE 2020-21'!D$20</f>
        <v>10900</v>
      </c>
      <c r="N44" s="102" t="str">
        <f>'1.1 y 1.2CUADROA2 - BNE 2020-21'!E$20</f>
        <v>kcal/kg</v>
      </c>
      <c r="O44" s="102">
        <f t="shared" si="39"/>
        <v>10355</v>
      </c>
      <c r="P44" s="109" t="str">
        <f t="shared" si="40"/>
        <v>kcal/kg</v>
      </c>
      <c r="Q44" s="109" t="s">
        <v>385</v>
      </c>
      <c r="R44" s="103">
        <f t="shared" si="2"/>
        <v>3.6417623759999997E-2</v>
      </c>
      <c r="S44" s="103" t="str">
        <f>IF(Q44="Sí","TJ/m3", IF(N44="kcal/m3", "TJ/m3","TJ/kg"))</f>
        <v>TJ/m3</v>
      </c>
      <c r="T44" s="103">
        <f>H44*$R44</f>
        <v>2698.5459206159999</v>
      </c>
      <c r="U44" s="103">
        <f>I44*$R44</f>
        <v>0.36417623759999995</v>
      </c>
      <c r="V44" s="103">
        <f>J44*$R44</f>
        <v>2.1850574255999997E-2</v>
      </c>
      <c r="W44" s="103" t="str">
        <f>IF(S44="TJ/m3", "kg GEI/m3", "kg GEI/kg")</f>
        <v>kg GEI/m3</v>
      </c>
      <c r="X44" s="103">
        <f>$C$3*T44</f>
        <v>2698.5459206159999</v>
      </c>
      <c r="Y44" s="104">
        <f>U44*$C$4</f>
        <v>10.1969346528</v>
      </c>
      <c r="Z44" s="104">
        <f>V44*$C$5</f>
        <v>5.790402177839999</v>
      </c>
      <c r="AA44" s="105" t="str">
        <f>IF(S44="TJ/m3", "kg CO2e/m3", "kg CO2e/kg")</f>
        <v>kg CO2e/m3</v>
      </c>
      <c r="AB44" s="103">
        <f t="shared" si="11"/>
        <v>2.7145332574466399</v>
      </c>
      <c r="AC44" s="404" t="str">
        <f t="shared" si="13"/>
        <v>kgCO2e/litros</v>
      </c>
      <c r="AD44" s="72" t="s">
        <v>386</v>
      </c>
      <c r="AE44" s="72" t="s">
        <v>387</v>
      </c>
      <c r="AF44" s="402" t="s">
        <v>102</v>
      </c>
    </row>
    <row r="45" spans="2:32">
      <c r="B45" s="72" t="s">
        <v>119</v>
      </c>
      <c r="C45" s="72" t="s">
        <v>417</v>
      </c>
      <c r="D45" s="72" t="s">
        <v>418</v>
      </c>
      <c r="E45" s="72" t="s">
        <v>419</v>
      </c>
      <c r="F45" s="96" t="s">
        <v>103</v>
      </c>
      <c r="G45" s="79" t="s">
        <v>383</v>
      </c>
      <c r="H45" s="350">
        <f>'1.1 V2 CH2 T2.4'!$F$15</f>
        <v>77400</v>
      </c>
      <c r="I45" s="351">
        <f>'1.1 V2 CH2 T2.4'!$I$15</f>
        <v>10</v>
      </c>
      <c r="J45" s="351">
        <f>'1.1 V2 CH2 T2.4'!$L$15</f>
        <v>0.6</v>
      </c>
      <c r="K45" s="109">
        <f>'1.1 y 1.2CUADROA2 - BNE 2020-21'!$C$11</f>
        <v>0.92700000000000005</v>
      </c>
      <c r="L45" s="109" t="s">
        <v>384</v>
      </c>
      <c r="M45" s="102">
        <f>'1.1 y 1.2CUADROA2 - BNE 2020-21'!D$11</f>
        <v>10500</v>
      </c>
      <c r="N45" s="102" t="str">
        <f>'1.1 y 1.2CUADROA2 - BNE 2020-21'!E$11</f>
        <v>kcal/kg</v>
      </c>
      <c r="O45" s="102">
        <f t="shared" si="39"/>
        <v>9975</v>
      </c>
      <c r="P45" s="109" t="str">
        <f t="shared" si="40"/>
        <v>kcal/kg</v>
      </c>
      <c r="Q45" s="109" t="s">
        <v>385</v>
      </c>
      <c r="R45" s="103">
        <f t="shared" si="2"/>
        <v>3.8714606910000005E-2</v>
      </c>
      <c r="S45" s="103" t="str">
        <f t="shared" si="41"/>
        <v>TJ/m3</v>
      </c>
      <c r="T45" s="103">
        <f t="shared" si="42"/>
        <v>2996.5105748340002</v>
      </c>
      <c r="U45" s="103">
        <f t="shared" si="43"/>
        <v>0.38714606910000005</v>
      </c>
      <c r="V45" s="103">
        <f t="shared" si="44"/>
        <v>2.3228764146000003E-2</v>
      </c>
      <c r="W45" s="103" t="str">
        <f t="shared" si="45"/>
        <v>kg GEI/m3</v>
      </c>
      <c r="X45" s="103">
        <f t="shared" si="46"/>
        <v>2996.5105748340002</v>
      </c>
      <c r="Y45" s="104">
        <f t="shared" si="47"/>
        <v>10.840089934800002</v>
      </c>
      <c r="Z45" s="104">
        <f t="shared" si="48"/>
        <v>6.1556224986900006</v>
      </c>
      <c r="AA45" s="105" t="str">
        <f t="shared" si="49"/>
        <v>kg CO2e/m3</v>
      </c>
      <c r="AB45" s="103">
        <f t="shared" si="11"/>
        <v>3013.5062872674898</v>
      </c>
      <c r="AC45" s="404" t="str">
        <f t="shared" si="13"/>
        <v>kgCO2e/metros cúbicos</v>
      </c>
      <c r="AD45" s="72" t="s">
        <v>386</v>
      </c>
      <c r="AE45" s="72" t="s">
        <v>387</v>
      </c>
      <c r="AF45" s="402" t="s">
        <v>102</v>
      </c>
    </row>
    <row r="46" spans="2:32">
      <c r="B46" s="72" t="s">
        <v>119</v>
      </c>
      <c r="C46" s="72" t="s">
        <v>417</v>
      </c>
      <c r="D46" s="72" t="s">
        <v>418</v>
      </c>
      <c r="E46" s="72" t="s">
        <v>419</v>
      </c>
      <c r="F46" s="96" t="s">
        <v>104</v>
      </c>
      <c r="G46" s="79" t="s">
        <v>383</v>
      </c>
      <c r="H46" s="350">
        <f>'1.1 V2 CH2 T2.4'!$F$15</f>
        <v>77400</v>
      </c>
      <c r="I46" s="351">
        <f>'1.1 V2 CH2 T2.4'!$I$15</f>
        <v>10</v>
      </c>
      <c r="J46" s="351">
        <f>'1.1 V2 CH2 T2.4'!$L$15</f>
        <v>0.6</v>
      </c>
      <c r="K46" s="109">
        <f>'1.1 y 1.2CUADROA2 - BNE 2020-21'!$C$11</f>
        <v>0.92700000000000005</v>
      </c>
      <c r="L46" s="109" t="s">
        <v>384</v>
      </c>
      <c r="M46" s="102">
        <f>'1.1 y 1.2CUADROA2 - BNE 2020-21'!D$11</f>
        <v>10500</v>
      </c>
      <c r="N46" s="102" t="str">
        <f>'1.1 y 1.2CUADROA2 - BNE 2020-21'!E$11</f>
        <v>kcal/kg</v>
      </c>
      <c r="O46" s="102">
        <f t="shared" si="39"/>
        <v>9975</v>
      </c>
      <c r="P46" s="109" t="str">
        <f t="shared" si="40"/>
        <v>kcal/kg</v>
      </c>
      <c r="Q46" s="403" t="s">
        <v>385</v>
      </c>
      <c r="R46" s="103">
        <f t="shared" si="2"/>
        <v>3.8714606910000005E-2</v>
      </c>
      <c r="S46" s="103" t="str">
        <f t="shared" si="41"/>
        <v>TJ/m3</v>
      </c>
      <c r="T46" s="103">
        <f t="shared" si="42"/>
        <v>2996.5105748340002</v>
      </c>
      <c r="U46" s="103">
        <f t="shared" si="43"/>
        <v>0.38714606910000005</v>
      </c>
      <c r="V46" s="103">
        <f t="shared" si="44"/>
        <v>2.3228764146000003E-2</v>
      </c>
      <c r="W46" s="103" t="str">
        <f t="shared" si="45"/>
        <v>kg GEI/m3</v>
      </c>
      <c r="X46" s="103">
        <f t="shared" si="46"/>
        <v>2996.5105748340002</v>
      </c>
      <c r="Y46" s="104">
        <f t="shared" si="47"/>
        <v>10.840089934800002</v>
      </c>
      <c r="Z46" s="104">
        <f t="shared" si="48"/>
        <v>6.1556224986900006</v>
      </c>
      <c r="AA46" s="105" t="str">
        <f t="shared" si="49"/>
        <v>kg CO2e/m3</v>
      </c>
      <c r="AB46" s="103">
        <f t="shared" si="11"/>
        <v>3.0135062872674898</v>
      </c>
      <c r="AC46" s="404" t="str">
        <f t="shared" si="13"/>
        <v>kgCO2e/litros</v>
      </c>
      <c r="AD46" s="72" t="s">
        <v>386</v>
      </c>
      <c r="AE46" s="72" t="s">
        <v>387</v>
      </c>
      <c r="AF46" s="402" t="s">
        <v>102</v>
      </c>
    </row>
    <row r="47" spans="2:32">
      <c r="B47" s="72" t="s">
        <v>120</v>
      </c>
      <c r="C47" s="72" t="s">
        <v>420</v>
      </c>
      <c r="D47" s="72" t="s">
        <v>418</v>
      </c>
      <c r="E47" s="72" t="s">
        <v>419</v>
      </c>
      <c r="F47" s="96" t="s">
        <v>103</v>
      </c>
      <c r="G47" s="79" t="s">
        <v>383</v>
      </c>
      <c r="H47" s="350">
        <f>'1.1 V2 CH2 T2.4'!$F$15</f>
        <v>77400</v>
      </c>
      <c r="I47" s="351">
        <f>'1.1 V2 CH2 T2.4'!$I$15</f>
        <v>10</v>
      </c>
      <c r="J47" s="351">
        <f>'1.1 V2 CH2 T2.4'!$L$15</f>
        <v>0.6</v>
      </c>
      <c r="K47" s="109">
        <f>'1.1 y 1.2CUADROA2 - BNE 2020-21'!$C$13</f>
        <v>0.94499999999999995</v>
      </c>
      <c r="L47" s="109" t="s">
        <v>384</v>
      </c>
      <c r="M47" s="102">
        <f>'1.1 y 1.2CUADROA2 - BNE 2020-21'!D$13</f>
        <v>10500</v>
      </c>
      <c r="N47" s="102" t="str">
        <f>'1.1 y 1.2CUADROA2 - BNE 2020-21'!E$13</f>
        <v>kcal/kg</v>
      </c>
      <c r="O47" s="102">
        <f t="shared" si="39"/>
        <v>9975</v>
      </c>
      <c r="P47" s="109" t="str">
        <f t="shared" si="40"/>
        <v>kcal/kg</v>
      </c>
      <c r="Q47" s="109" t="s">
        <v>385</v>
      </c>
      <c r="R47" s="103">
        <f t="shared" si="2"/>
        <v>3.946634685E-2</v>
      </c>
      <c r="S47" s="103" t="str">
        <f t="shared" si="41"/>
        <v>TJ/m3</v>
      </c>
      <c r="T47" s="103">
        <f t="shared" si="42"/>
        <v>3054.69524619</v>
      </c>
      <c r="U47" s="103">
        <f t="shared" si="43"/>
        <v>0.3946634685</v>
      </c>
      <c r="V47" s="103">
        <f t="shared" si="44"/>
        <v>2.3679808109999999E-2</v>
      </c>
      <c r="W47" s="103" t="str">
        <f t="shared" si="45"/>
        <v>kg GEI/m3</v>
      </c>
      <c r="X47" s="104">
        <f t="shared" si="46"/>
        <v>3054.69524619</v>
      </c>
      <c r="Y47" s="104">
        <f t="shared" si="47"/>
        <v>11.050577118</v>
      </c>
      <c r="Z47" s="104">
        <f t="shared" si="48"/>
        <v>6.2751491491499998</v>
      </c>
      <c r="AA47" s="105" t="str">
        <f t="shared" si="49"/>
        <v>kg CO2e/m3</v>
      </c>
      <c r="AB47" s="103">
        <f t="shared" si="11"/>
        <v>3072.02097245715</v>
      </c>
      <c r="AC47" s="404" t="str">
        <f t="shared" si="13"/>
        <v>kgCO2e/metros cúbicos</v>
      </c>
      <c r="AD47" s="72" t="s">
        <v>386</v>
      </c>
      <c r="AE47" s="72" t="s">
        <v>387</v>
      </c>
      <c r="AF47" s="402" t="s">
        <v>102</v>
      </c>
    </row>
    <row r="48" spans="2:32">
      <c r="B48" s="72" t="s">
        <v>120</v>
      </c>
      <c r="C48" s="72" t="s">
        <v>420</v>
      </c>
      <c r="D48" s="72" t="s">
        <v>418</v>
      </c>
      <c r="E48" s="72" t="s">
        <v>419</v>
      </c>
      <c r="F48" s="96" t="s">
        <v>104</v>
      </c>
      <c r="G48" s="79" t="s">
        <v>383</v>
      </c>
      <c r="H48" s="350">
        <f>'1.1 V2 CH2 T2.4'!$F$15</f>
        <v>77400</v>
      </c>
      <c r="I48" s="351">
        <f>'1.1 V2 CH2 T2.4'!$I$15</f>
        <v>10</v>
      </c>
      <c r="J48" s="351">
        <f>'1.1 V2 CH2 T2.4'!$L$15</f>
        <v>0.6</v>
      </c>
      <c r="K48" s="109">
        <f>'1.1 y 1.2CUADROA2 - BNE 2020-21'!$C$13</f>
        <v>0.94499999999999995</v>
      </c>
      <c r="L48" s="109" t="s">
        <v>384</v>
      </c>
      <c r="M48" s="102">
        <f>'1.1 y 1.2CUADROA2 - BNE 2020-21'!D$13</f>
        <v>10500</v>
      </c>
      <c r="N48" s="102" t="str">
        <f>'1.1 y 1.2CUADROA2 - BNE 2020-21'!E$13</f>
        <v>kcal/kg</v>
      </c>
      <c r="O48" s="102">
        <f t="shared" si="39"/>
        <v>9975</v>
      </c>
      <c r="P48" s="109" t="str">
        <f t="shared" si="40"/>
        <v>kcal/kg</v>
      </c>
      <c r="Q48" s="109" t="s">
        <v>385</v>
      </c>
      <c r="R48" s="103">
        <f t="shared" si="2"/>
        <v>3.946634685E-2</v>
      </c>
      <c r="S48" s="103" t="str">
        <f t="shared" si="41"/>
        <v>TJ/m3</v>
      </c>
      <c r="T48" s="103">
        <f t="shared" si="42"/>
        <v>3054.69524619</v>
      </c>
      <c r="U48" s="103">
        <f t="shared" si="43"/>
        <v>0.3946634685</v>
      </c>
      <c r="V48" s="103">
        <f t="shared" si="44"/>
        <v>2.3679808109999999E-2</v>
      </c>
      <c r="W48" s="103" t="str">
        <f t="shared" si="45"/>
        <v>kg GEI/m3</v>
      </c>
      <c r="X48" s="104">
        <f t="shared" si="46"/>
        <v>3054.69524619</v>
      </c>
      <c r="Y48" s="104">
        <f t="shared" si="47"/>
        <v>11.050577118</v>
      </c>
      <c r="Z48" s="104">
        <f t="shared" si="48"/>
        <v>6.2751491491499998</v>
      </c>
      <c r="AA48" s="105" t="str">
        <f t="shared" si="49"/>
        <v>kg CO2e/m3</v>
      </c>
      <c r="AB48" s="103">
        <f t="shared" si="11"/>
        <v>3.0720209724571501</v>
      </c>
      <c r="AC48" s="404" t="str">
        <f t="shared" si="13"/>
        <v>kgCO2e/litros</v>
      </c>
      <c r="AD48" s="72" t="s">
        <v>386</v>
      </c>
      <c r="AE48" s="72" t="s">
        <v>387</v>
      </c>
      <c r="AF48" s="402" t="s">
        <v>102</v>
      </c>
    </row>
    <row r="49" spans="8:29">
      <c r="H49" s="125"/>
      <c r="I49" s="126"/>
      <c r="J49" s="126"/>
      <c r="M49" s="127"/>
      <c r="O49" s="128"/>
      <c r="R49" s="129"/>
      <c r="S49" s="129"/>
      <c r="T49" s="129"/>
      <c r="U49" s="129"/>
      <c r="V49" s="129"/>
      <c r="W49" s="129"/>
      <c r="X49" s="130"/>
      <c r="Y49" s="130"/>
      <c r="Z49" s="130"/>
      <c r="AA49" s="131"/>
      <c r="AB49" s="132"/>
      <c r="AC49" s="131"/>
    </row>
    <row r="50" spans="8:29">
      <c r="H50" s="125"/>
      <c r="I50" s="126"/>
      <c r="J50" s="126"/>
      <c r="M50" s="127"/>
      <c r="O50" s="128"/>
      <c r="R50" s="129"/>
      <c r="S50" s="129"/>
      <c r="T50" s="129"/>
      <c r="U50" s="129"/>
      <c r="V50" s="129"/>
      <c r="W50" s="129"/>
      <c r="X50" s="130"/>
      <c r="Y50" s="130"/>
      <c r="Z50" s="130"/>
      <c r="AA50" s="131"/>
      <c r="AB50" s="132"/>
      <c r="AC50" s="131"/>
    </row>
  </sheetData>
  <sheetProtection algorithmName="SHA-512" hashValue="PEhKH7lbFXe5YHHSb8jFqrnY8A39+ocs2jPZHYSarHAzwhNvUdMaUC0DWqMqxQNe7BV5aX9mC8nswLIRX3HW0Q==" saltValue="9RHqzzkCSXP1ljjWnkpQjw==" spinCount="100000" sheet="1" objects="1" scenarios="1" autoFilter="0"/>
  <autoFilter ref="B15:AF48" xr:uid="{00000000-0009-0000-0000-000002000000}"/>
  <mergeCells count="2">
    <mergeCell ref="T14:W14"/>
    <mergeCell ref="X14:AC14"/>
  </mergeCells>
  <phoneticPr fontId="40"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sheetPr>
  <dimension ref="B1:I67"/>
  <sheetViews>
    <sheetView showGridLines="0" workbookViewId="0"/>
  </sheetViews>
  <sheetFormatPr baseColWidth="10" defaultColWidth="11.5546875" defaultRowHeight="14.4"/>
  <cols>
    <col min="1" max="1" width="5.6640625" style="2" customWidth="1"/>
    <col min="2" max="2" width="65.88671875" style="2" bestFit="1" customWidth="1"/>
    <col min="3" max="3" width="61.33203125" style="2" bestFit="1" customWidth="1"/>
    <col min="4" max="4" width="41.33203125" style="2" bestFit="1" customWidth="1"/>
    <col min="5" max="5" width="20.6640625" style="2" bestFit="1" customWidth="1"/>
    <col min="6" max="6" width="23" style="2" customWidth="1"/>
    <col min="7" max="7" width="28.5546875" style="2" bestFit="1" customWidth="1"/>
    <col min="8" max="8" width="30.44140625" style="2" bestFit="1" customWidth="1"/>
    <col min="9" max="9" width="100.44140625" style="2" bestFit="1" customWidth="1"/>
    <col min="10" max="16384" width="11.5546875" style="2"/>
  </cols>
  <sheetData>
    <row r="1" spans="2:9" customFormat="1"/>
    <row r="2" spans="2:9" customFormat="1">
      <c r="B2" s="1" t="s">
        <v>358</v>
      </c>
    </row>
    <row r="3" spans="2:9" customFormat="1">
      <c r="B3" s="1" t="s">
        <v>210</v>
      </c>
    </row>
    <row r="4" spans="2:9" customFormat="1">
      <c r="B4" s="1" t="s">
        <v>1863</v>
      </c>
    </row>
    <row r="5" spans="2:9" customFormat="1"/>
    <row r="6" spans="2:9" customFormat="1" ht="28.8">
      <c r="B6" s="71" t="s">
        <v>362</v>
      </c>
      <c r="C6" s="74" t="s">
        <v>1543</v>
      </c>
      <c r="D6" s="75" t="s">
        <v>1864</v>
      </c>
      <c r="E6" s="74" t="s">
        <v>93</v>
      </c>
      <c r="F6" s="74" t="s">
        <v>1865</v>
      </c>
      <c r="G6" s="71" t="s">
        <v>1547</v>
      </c>
      <c r="H6" s="74" t="s">
        <v>346</v>
      </c>
      <c r="I6" s="75" t="s">
        <v>97</v>
      </c>
    </row>
    <row r="7" spans="2:9">
      <c r="B7" s="402" t="s">
        <v>257</v>
      </c>
      <c r="C7" s="402" t="s">
        <v>1866</v>
      </c>
      <c r="D7" s="402" t="s">
        <v>102</v>
      </c>
      <c r="E7" s="403" t="s">
        <v>258</v>
      </c>
      <c r="F7" s="473">
        <f>'3.2 Passenger vehicles'!H54</f>
        <v>0.16450000000000001</v>
      </c>
      <c r="G7" s="403" t="str">
        <f>"kgCO2e/"&amp;E7</f>
        <v>kgCO2e/kilómetros</v>
      </c>
      <c r="H7" s="402" t="s">
        <v>1867</v>
      </c>
      <c r="I7" s="402" t="s">
        <v>102</v>
      </c>
    </row>
    <row r="8" spans="2:9">
      <c r="B8" s="402" t="s">
        <v>259</v>
      </c>
      <c r="C8" s="402" t="s">
        <v>1868</v>
      </c>
      <c r="D8" s="402" t="s">
        <v>102</v>
      </c>
      <c r="E8" s="403" t="s">
        <v>258</v>
      </c>
      <c r="F8" s="473">
        <f>'3.2 Passenger vehicles'!D54</f>
        <v>0.16983999999999999</v>
      </c>
      <c r="G8" s="403" t="str">
        <f t="shared" ref="G8:G19" si="0">"kgCO2e/"&amp;E8</f>
        <v>kgCO2e/kilómetros</v>
      </c>
      <c r="H8" s="402" t="s">
        <v>1867</v>
      </c>
      <c r="I8" s="402" t="s">
        <v>102</v>
      </c>
    </row>
    <row r="9" spans="2:9">
      <c r="B9" s="402" t="s">
        <v>260</v>
      </c>
      <c r="C9" s="402" t="s">
        <v>1869</v>
      </c>
      <c r="D9" s="402" t="s">
        <v>102</v>
      </c>
      <c r="E9" s="403" t="s">
        <v>261</v>
      </c>
      <c r="F9" s="473">
        <f>'3.2 Business travel- land'!D71</f>
        <v>0.14860999999999999</v>
      </c>
      <c r="G9" s="403" t="str">
        <f t="shared" si="0"/>
        <v>kgCO2e/kilómetros-pasajero</v>
      </c>
      <c r="H9" s="402" t="s">
        <v>1870</v>
      </c>
      <c r="I9" s="402" t="s">
        <v>102</v>
      </c>
    </row>
    <row r="10" spans="2:9">
      <c r="B10" s="402" t="s">
        <v>262</v>
      </c>
      <c r="C10" s="402" t="s">
        <v>1869</v>
      </c>
      <c r="D10" s="402" t="s">
        <v>102</v>
      </c>
      <c r="E10" s="403" t="s">
        <v>261</v>
      </c>
      <c r="F10" s="473">
        <f>'3.2 Business travel- land'!D71</f>
        <v>0.14860999999999999</v>
      </c>
      <c r="G10" s="403" t="str">
        <f t="shared" ref="G10" si="1">"kgCO2e/"&amp;E10</f>
        <v>kgCO2e/kilómetros-pasajero</v>
      </c>
      <c r="H10" s="402" t="s">
        <v>1870</v>
      </c>
      <c r="I10" s="402" t="s">
        <v>102</v>
      </c>
    </row>
    <row r="11" spans="2:9">
      <c r="B11" s="402" t="s">
        <v>263</v>
      </c>
      <c r="C11" s="402" t="s">
        <v>1871</v>
      </c>
      <c r="D11" s="402" t="s">
        <v>102</v>
      </c>
      <c r="E11" s="403" t="s">
        <v>258</v>
      </c>
      <c r="F11" s="473">
        <f>'3.2 Passenger vehicles'!D66</f>
        <v>0.11367000000000001</v>
      </c>
      <c r="G11" s="403" t="str">
        <f t="shared" si="0"/>
        <v>kgCO2e/kilómetros</v>
      </c>
      <c r="H11" s="402" t="s">
        <v>1867</v>
      </c>
      <c r="I11" s="402" t="s">
        <v>102</v>
      </c>
    </row>
    <row r="12" spans="2:9">
      <c r="B12" s="402" t="s">
        <v>265</v>
      </c>
      <c r="C12" s="402" t="s">
        <v>1872</v>
      </c>
      <c r="D12" s="402" t="s">
        <v>102</v>
      </c>
      <c r="E12" s="403" t="s">
        <v>261</v>
      </c>
      <c r="F12" s="473">
        <f>'3.2 Business travel- land'!D79</f>
        <v>0.12998999999999999</v>
      </c>
      <c r="G12" s="403" t="str">
        <f t="shared" si="0"/>
        <v>kgCO2e/kilómetros-pasajero</v>
      </c>
      <c r="H12" s="402" t="s">
        <v>1870</v>
      </c>
      <c r="I12" s="402" t="s">
        <v>102</v>
      </c>
    </row>
    <row r="13" spans="2:9">
      <c r="B13" s="402" t="s">
        <v>264</v>
      </c>
      <c r="C13" s="402" t="s">
        <v>1873</v>
      </c>
      <c r="D13" s="402" t="s">
        <v>102</v>
      </c>
      <c r="E13" s="403" t="s">
        <v>261</v>
      </c>
      <c r="F13" s="473">
        <f>'3.2 Business travel- land'!D82</f>
        <v>2.717E-2</v>
      </c>
      <c r="G13" s="403" t="str">
        <f t="shared" si="0"/>
        <v>kgCO2e/kilómetros-pasajero</v>
      </c>
      <c r="H13" s="402" t="s">
        <v>1870</v>
      </c>
      <c r="I13" s="402" t="s">
        <v>102</v>
      </c>
    </row>
    <row r="14" spans="2:9">
      <c r="B14" s="402" t="s">
        <v>266</v>
      </c>
      <c r="C14" s="402" t="s">
        <v>1874</v>
      </c>
      <c r="D14" s="402" t="s">
        <v>102</v>
      </c>
      <c r="E14" s="403" t="s">
        <v>261</v>
      </c>
      <c r="F14" s="473">
        <f>'3.2 Business travel- land'!D81</f>
        <v>0.10846</v>
      </c>
      <c r="G14" s="403" t="str">
        <f>"kgCO2e/"&amp;E14</f>
        <v>kgCO2e/kilómetros-pasajero</v>
      </c>
      <c r="H14" s="402" t="s">
        <v>1870</v>
      </c>
      <c r="I14" s="402" t="s">
        <v>102</v>
      </c>
    </row>
    <row r="15" spans="2:9">
      <c r="B15" s="402" t="s">
        <v>267</v>
      </c>
      <c r="C15" s="402" t="s">
        <v>102</v>
      </c>
      <c r="D15" s="402" t="s">
        <v>1875</v>
      </c>
      <c r="E15" s="403" t="s">
        <v>261</v>
      </c>
      <c r="F15" s="473">
        <v>1.6E-2</v>
      </c>
      <c r="G15" s="403" t="str">
        <f t="shared" si="0"/>
        <v>kgCO2e/kilómetros-pasajero</v>
      </c>
      <c r="H15" s="412" t="s">
        <v>102</v>
      </c>
      <c r="I15" s="402" t="s">
        <v>1876</v>
      </c>
    </row>
    <row r="16" spans="2:9">
      <c r="B16" s="402" t="s">
        <v>268</v>
      </c>
      <c r="C16" s="402" t="s">
        <v>1877</v>
      </c>
      <c r="D16" s="402" t="s">
        <v>102</v>
      </c>
      <c r="E16" s="403" t="s">
        <v>261</v>
      </c>
      <c r="F16" s="473">
        <f>'3.2 Business travel- land'!D87</f>
        <v>3.5459999999999998E-2</v>
      </c>
      <c r="G16" s="403" t="str">
        <f t="shared" si="0"/>
        <v>kgCO2e/kilómetros-pasajero</v>
      </c>
      <c r="H16" s="402" t="s">
        <v>1870</v>
      </c>
      <c r="I16" s="402" t="s">
        <v>102</v>
      </c>
    </row>
    <row r="17" spans="2:9">
      <c r="B17" s="402" t="s">
        <v>269</v>
      </c>
      <c r="C17" s="402" t="s">
        <v>102</v>
      </c>
      <c r="D17" s="402" t="s">
        <v>102</v>
      </c>
      <c r="E17" s="403" t="s">
        <v>258</v>
      </c>
      <c r="F17" s="473">
        <v>0</v>
      </c>
      <c r="G17" s="403" t="str">
        <f t="shared" si="0"/>
        <v>kgCO2e/kilómetros</v>
      </c>
      <c r="H17" s="402" t="s">
        <v>1878</v>
      </c>
      <c r="I17" s="402" t="s">
        <v>102</v>
      </c>
    </row>
    <row r="18" spans="2:9">
      <c r="B18" s="402" t="s">
        <v>270</v>
      </c>
      <c r="C18" s="402" t="s">
        <v>1879</v>
      </c>
      <c r="D18" s="402" t="s">
        <v>102</v>
      </c>
      <c r="E18" s="403" t="s">
        <v>258</v>
      </c>
      <c r="F18" s="473">
        <f>'3.2 Business travel- land'!AB53</f>
        <v>0.10853</v>
      </c>
      <c r="G18" s="403" t="str">
        <f t="shared" si="0"/>
        <v>kgCO2e/kilómetros</v>
      </c>
      <c r="H18" s="402" t="s">
        <v>1870</v>
      </c>
      <c r="I18" s="402" t="s">
        <v>102</v>
      </c>
    </row>
    <row r="19" spans="2:9">
      <c r="B19" s="402" t="s">
        <v>271</v>
      </c>
      <c r="C19" s="402" t="s">
        <v>1880</v>
      </c>
      <c r="D19" s="402" t="s">
        <v>102</v>
      </c>
      <c r="E19" s="403" t="s">
        <v>258</v>
      </c>
      <c r="F19" s="473">
        <f>'3.2 Business travel- land'!AF53</f>
        <v>4.7449999999999999E-2</v>
      </c>
      <c r="G19" s="403" t="str">
        <f t="shared" si="0"/>
        <v>kgCO2e/kilómetros</v>
      </c>
      <c r="H19" s="402" t="s">
        <v>1870</v>
      </c>
      <c r="I19" s="402" t="s">
        <v>102</v>
      </c>
    </row>
    <row r="22" spans="2:9">
      <c r="B22" s="1" t="s">
        <v>358</v>
      </c>
      <c r="C22" s="414"/>
      <c r="D22" s="414"/>
      <c r="E22" s="414"/>
      <c r="F22" s="414"/>
      <c r="G22" s="414"/>
      <c r="H22" s="414"/>
      <c r="I22" s="414"/>
    </row>
    <row r="23" spans="2:9">
      <c r="B23" s="1" t="s">
        <v>210</v>
      </c>
      <c r="C23" s="414"/>
      <c r="D23" s="414"/>
      <c r="E23" s="414"/>
      <c r="F23" s="414"/>
      <c r="G23" s="414"/>
      <c r="H23" s="414"/>
      <c r="I23" s="414"/>
    </row>
    <row r="24" spans="2:9">
      <c r="B24" s="1" t="s">
        <v>1881</v>
      </c>
      <c r="C24" s="414"/>
      <c r="D24" s="414"/>
      <c r="E24" s="414"/>
      <c r="F24" s="414"/>
      <c r="G24" s="414"/>
      <c r="H24" s="414"/>
      <c r="I24" s="414"/>
    </row>
    <row r="26" spans="2:9" customFormat="1" ht="28.8">
      <c r="B26" s="71" t="s">
        <v>362</v>
      </c>
      <c r="C26" s="74" t="s">
        <v>1543</v>
      </c>
      <c r="D26" s="75" t="s">
        <v>1864</v>
      </c>
      <c r="E26" s="74" t="s">
        <v>93</v>
      </c>
      <c r="F26" s="74" t="s">
        <v>1865</v>
      </c>
      <c r="G26" s="71" t="s">
        <v>1547</v>
      </c>
      <c r="H26" s="74" t="s">
        <v>96</v>
      </c>
      <c r="I26" s="75" t="s">
        <v>97</v>
      </c>
    </row>
    <row r="27" spans="2:9">
      <c r="B27" s="402" t="s">
        <v>273</v>
      </c>
      <c r="C27" s="402" t="s">
        <v>1882</v>
      </c>
      <c r="D27" s="402" t="s">
        <v>102</v>
      </c>
      <c r="E27" s="403" t="s">
        <v>261</v>
      </c>
      <c r="F27" s="473">
        <f>'3.2 Business travel- air'!$I$23</f>
        <v>0.16098000000000001</v>
      </c>
      <c r="G27" s="403" t="str">
        <f>"kgCO2e/"&amp;E27</f>
        <v>kgCO2e/kilómetros-pasajero</v>
      </c>
      <c r="H27" s="402" t="s">
        <v>1883</v>
      </c>
      <c r="I27" s="402" t="s">
        <v>102</v>
      </c>
    </row>
    <row r="28" spans="2:9">
      <c r="B28" s="402" t="s">
        <v>274</v>
      </c>
      <c r="C28" s="402" t="s">
        <v>1884</v>
      </c>
      <c r="D28" s="402" t="s">
        <v>102</v>
      </c>
      <c r="E28" s="403" t="s">
        <v>261</v>
      </c>
      <c r="F28" s="473">
        <f>'3.2 Business travel- air'!$I$32</f>
        <v>0.10377</v>
      </c>
      <c r="G28" s="403" t="str">
        <f t="shared" ref="G28:G43" si="2">"kgCO2e/"&amp;E28</f>
        <v>kgCO2e/kilómetros-pasajero</v>
      </c>
      <c r="H28" s="402" t="s">
        <v>1883</v>
      </c>
      <c r="I28" s="402" t="s">
        <v>102</v>
      </c>
    </row>
    <row r="29" spans="2:9">
      <c r="B29" s="402" t="s">
        <v>275</v>
      </c>
      <c r="C29" s="402" t="s">
        <v>1866</v>
      </c>
      <c r="D29" s="402" t="s">
        <v>102</v>
      </c>
      <c r="E29" s="403" t="s">
        <v>258</v>
      </c>
      <c r="F29" s="473">
        <f>'3.2 Business travel- land'!H53</f>
        <v>0.16450000000000001</v>
      </c>
      <c r="G29" s="403" t="str">
        <f t="shared" si="2"/>
        <v>kgCO2e/kilómetros</v>
      </c>
      <c r="H29" s="402" t="s">
        <v>1870</v>
      </c>
      <c r="I29" s="402" t="s">
        <v>102</v>
      </c>
    </row>
    <row r="30" spans="2:9">
      <c r="B30" s="402" t="s">
        <v>276</v>
      </c>
      <c r="C30" s="402" t="s">
        <v>1868</v>
      </c>
      <c r="D30" s="402" t="s">
        <v>102</v>
      </c>
      <c r="E30" s="403" t="s">
        <v>258</v>
      </c>
      <c r="F30" s="473">
        <f>'3.2 Business travel- land'!D53</f>
        <v>0.16983999999999999</v>
      </c>
      <c r="G30" s="403" t="str">
        <f t="shared" si="2"/>
        <v>kgCO2e/kilómetros</v>
      </c>
      <c r="H30" s="402" t="s">
        <v>1870</v>
      </c>
      <c r="I30" s="402" t="s">
        <v>102</v>
      </c>
    </row>
    <row r="31" spans="2:9">
      <c r="B31" s="402" t="s">
        <v>277</v>
      </c>
      <c r="C31" s="402" t="s">
        <v>1869</v>
      </c>
      <c r="D31" s="402" t="s">
        <v>102</v>
      </c>
      <c r="E31" s="403" t="s">
        <v>261</v>
      </c>
      <c r="F31" s="473">
        <f>'3.2 Business travel- land'!D71</f>
        <v>0.14860999999999999</v>
      </c>
      <c r="G31" s="403" t="str">
        <f t="shared" si="2"/>
        <v>kgCO2e/kilómetros-pasajero</v>
      </c>
      <c r="H31" s="402" t="s">
        <v>1870</v>
      </c>
      <c r="I31" s="402" t="s">
        <v>102</v>
      </c>
    </row>
    <row r="32" spans="2:9">
      <c r="B32" s="402" t="s">
        <v>278</v>
      </c>
      <c r="C32" s="402" t="s">
        <v>1871</v>
      </c>
      <c r="D32" s="402" t="s">
        <v>102</v>
      </c>
      <c r="E32" s="403" t="s">
        <v>258</v>
      </c>
      <c r="F32" s="473">
        <f>'3.2 Business travel- land'!D65</f>
        <v>0.11366999999999999</v>
      </c>
      <c r="G32" s="403" t="str">
        <f t="shared" si="2"/>
        <v>kgCO2e/kilómetros</v>
      </c>
      <c r="H32" s="402" t="s">
        <v>1870</v>
      </c>
      <c r="I32" s="402" t="s">
        <v>102</v>
      </c>
    </row>
    <row r="33" spans="2:9">
      <c r="B33" s="402" t="s">
        <v>280</v>
      </c>
      <c r="C33" s="402" t="s">
        <v>1872</v>
      </c>
      <c r="D33" s="402" t="s">
        <v>102</v>
      </c>
      <c r="E33" s="403" t="s">
        <v>261</v>
      </c>
      <c r="F33" s="473">
        <f>'3.2 Business travel- land'!D79</f>
        <v>0.12998999999999999</v>
      </c>
      <c r="G33" s="403" t="str">
        <f t="shared" si="2"/>
        <v>kgCO2e/kilómetros-pasajero</v>
      </c>
      <c r="H33" s="402" t="s">
        <v>1870</v>
      </c>
      <c r="I33" s="402" t="s">
        <v>102</v>
      </c>
    </row>
    <row r="34" spans="2:9">
      <c r="B34" s="402" t="s">
        <v>279</v>
      </c>
      <c r="C34" s="402" t="s">
        <v>1873</v>
      </c>
      <c r="D34" s="402" t="s">
        <v>102</v>
      </c>
      <c r="E34" s="403" t="s">
        <v>261</v>
      </c>
      <c r="F34" s="473">
        <f>'3.2 Business travel- land'!D82</f>
        <v>2.717E-2</v>
      </c>
      <c r="G34" s="403" t="str">
        <f t="shared" si="2"/>
        <v>kgCO2e/kilómetros-pasajero</v>
      </c>
      <c r="H34" s="402" t="s">
        <v>1870</v>
      </c>
      <c r="I34" s="402" t="s">
        <v>102</v>
      </c>
    </row>
    <row r="35" spans="2:9">
      <c r="B35" s="402" t="s">
        <v>281</v>
      </c>
      <c r="C35" s="402" t="s">
        <v>1874</v>
      </c>
      <c r="D35" s="402" t="s">
        <v>102</v>
      </c>
      <c r="E35" s="403" t="s">
        <v>261</v>
      </c>
      <c r="F35" s="473">
        <f>'3.2 Business travel- land'!D81</f>
        <v>0.10846</v>
      </c>
      <c r="G35" s="403" t="str">
        <f t="shared" si="2"/>
        <v>kgCO2e/kilómetros-pasajero</v>
      </c>
      <c r="H35" s="402" t="s">
        <v>1870</v>
      </c>
      <c r="I35" s="402" t="s">
        <v>102</v>
      </c>
    </row>
    <row r="36" spans="2:9">
      <c r="B36" s="402" t="s">
        <v>282</v>
      </c>
      <c r="C36" s="402" t="s">
        <v>102</v>
      </c>
      <c r="D36" s="402" t="s">
        <v>1875</v>
      </c>
      <c r="E36" s="403" t="s">
        <v>261</v>
      </c>
      <c r="F36" s="473">
        <v>1.6E-2</v>
      </c>
      <c r="G36" s="403" t="str">
        <f t="shared" si="2"/>
        <v>kgCO2e/kilómetros-pasajero</v>
      </c>
      <c r="H36" s="412" t="s">
        <v>102</v>
      </c>
      <c r="I36" s="402" t="s">
        <v>1876</v>
      </c>
    </row>
    <row r="37" spans="2:9">
      <c r="B37" s="402" t="s">
        <v>283</v>
      </c>
      <c r="C37" s="402" t="s">
        <v>1877</v>
      </c>
      <c r="D37" s="402" t="s">
        <v>102</v>
      </c>
      <c r="E37" s="403" t="s">
        <v>261</v>
      </c>
      <c r="F37" s="473">
        <f>'3.2 Business travel- land'!D87</f>
        <v>3.5459999999999998E-2</v>
      </c>
      <c r="G37" s="403" t="str">
        <f t="shared" si="2"/>
        <v>kgCO2e/kilómetros-pasajero</v>
      </c>
      <c r="H37" s="402" t="s">
        <v>1870</v>
      </c>
      <c r="I37" s="402" t="s">
        <v>102</v>
      </c>
    </row>
    <row r="38" spans="2:9">
      <c r="B38" s="402" t="s">
        <v>284</v>
      </c>
      <c r="C38" s="402" t="s">
        <v>1885</v>
      </c>
      <c r="D38" s="402" t="s">
        <v>102</v>
      </c>
      <c r="E38" s="403" t="s">
        <v>258</v>
      </c>
      <c r="F38" s="473">
        <f>'3.2 Business travel- land'!D51</f>
        <v>0.20729</v>
      </c>
      <c r="G38" s="403" t="str">
        <f t="shared" si="2"/>
        <v>kgCO2e/kilómetros</v>
      </c>
      <c r="H38" s="402" t="s">
        <v>1870</v>
      </c>
      <c r="I38" s="402" t="s">
        <v>102</v>
      </c>
    </row>
    <row r="39" spans="2:9">
      <c r="B39" s="402" t="s">
        <v>285</v>
      </c>
      <c r="C39" s="402" t="s">
        <v>1886</v>
      </c>
      <c r="D39" s="402" t="s">
        <v>102</v>
      </c>
      <c r="E39" s="403" t="s">
        <v>258</v>
      </c>
      <c r="F39" s="473">
        <f>'3.2 Business travel- land'!H53</f>
        <v>0.16450000000000001</v>
      </c>
      <c r="G39" s="403" t="str">
        <f t="shared" si="2"/>
        <v>kgCO2e/kilómetros</v>
      </c>
      <c r="H39" s="402" t="s">
        <v>1870</v>
      </c>
      <c r="I39" s="402" t="s">
        <v>102</v>
      </c>
    </row>
    <row r="40" spans="2:9">
      <c r="B40" s="402" t="s">
        <v>286</v>
      </c>
      <c r="C40" s="402" t="s">
        <v>1887</v>
      </c>
      <c r="D40" s="402" t="s">
        <v>102</v>
      </c>
      <c r="E40" s="403" t="s">
        <v>258</v>
      </c>
      <c r="F40" s="473">
        <f>'3.2 Business travel- land'!AF51</f>
        <v>4.9250000000000002E-2</v>
      </c>
      <c r="G40" s="403" t="str">
        <f t="shared" si="2"/>
        <v>kgCO2e/kilómetros</v>
      </c>
      <c r="H40" s="402" t="s">
        <v>1870</v>
      </c>
      <c r="I40" s="402" t="s">
        <v>102</v>
      </c>
    </row>
    <row r="41" spans="2:9">
      <c r="B41" s="402" t="s">
        <v>287</v>
      </c>
      <c r="C41" s="402" t="s">
        <v>1888</v>
      </c>
      <c r="D41" s="402"/>
      <c r="E41" s="403" t="s">
        <v>258</v>
      </c>
      <c r="F41" s="473">
        <f>'3.2 Business travel- land'!AB51</f>
        <v>0.11923</v>
      </c>
      <c r="G41" s="403" t="str">
        <f t="shared" si="2"/>
        <v>kgCO2e/kilómetros</v>
      </c>
      <c r="H41" s="402" t="s">
        <v>1870</v>
      </c>
      <c r="I41" s="402" t="s">
        <v>102</v>
      </c>
    </row>
    <row r="42" spans="2:9">
      <c r="B42" s="402" t="s">
        <v>288</v>
      </c>
      <c r="C42" s="402" t="s">
        <v>1879</v>
      </c>
      <c r="D42" s="402" t="s">
        <v>102</v>
      </c>
      <c r="E42" s="403" t="s">
        <v>258</v>
      </c>
      <c r="F42" s="473">
        <f>'3.2 Business travel- land'!AB53</f>
        <v>0.10853</v>
      </c>
      <c r="G42" s="403" t="str">
        <f t="shared" si="2"/>
        <v>kgCO2e/kilómetros</v>
      </c>
      <c r="H42" s="402" t="s">
        <v>1870</v>
      </c>
      <c r="I42" s="402" t="s">
        <v>102</v>
      </c>
    </row>
    <row r="43" spans="2:9">
      <c r="B43" s="402" t="s">
        <v>289</v>
      </c>
      <c r="C43" s="402" t="s">
        <v>1880</v>
      </c>
      <c r="D43" s="402" t="s">
        <v>102</v>
      </c>
      <c r="E43" s="403" t="s">
        <v>258</v>
      </c>
      <c r="F43" s="473">
        <f>'3.2 Business travel- land'!AF53</f>
        <v>4.7449999999999999E-2</v>
      </c>
      <c r="G43" s="403" t="str">
        <f t="shared" si="2"/>
        <v>kgCO2e/kilómetros</v>
      </c>
      <c r="H43" s="402" t="s">
        <v>1870</v>
      </c>
      <c r="I43" s="402" t="s">
        <v>102</v>
      </c>
    </row>
    <row r="45" spans="2:9">
      <c r="B45" s="1" t="s">
        <v>358</v>
      </c>
      <c r="C45" s="414"/>
      <c r="D45" s="414"/>
      <c r="E45" s="414"/>
      <c r="F45" s="414"/>
      <c r="G45" s="414"/>
      <c r="H45" s="414"/>
      <c r="I45" s="414"/>
    </row>
    <row r="46" spans="2:9">
      <c r="B46" s="1" t="s">
        <v>210</v>
      </c>
      <c r="C46" s="414"/>
      <c r="D46" s="414"/>
      <c r="E46" s="414"/>
      <c r="F46" s="414"/>
      <c r="G46" s="414"/>
      <c r="H46" s="414"/>
      <c r="I46" s="414"/>
    </row>
    <row r="47" spans="2:9">
      <c r="B47" s="1" t="s">
        <v>1889</v>
      </c>
      <c r="C47" s="414"/>
      <c r="D47" s="414"/>
      <c r="E47" s="414"/>
      <c r="F47" s="414"/>
      <c r="G47" s="414"/>
      <c r="H47" s="414"/>
      <c r="I47" s="414"/>
    </row>
    <row r="49" spans="2:9" ht="28.8">
      <c r="B49" s="71" t="s">
        <v>362</v>
      </c>
      <c r="C49" s="74" t="s">
        <v>1543</v>
      </c>
      <c r="D49" s="75" t="s">
        <v>1864</v>
      </c>
      <c r="E49" s="74" t="s">
        <v>93</v>
      </c>
      <c r="F49" s="74" t="s">
        <v>1865</v>
      </c>
      <c r="G49" s="71" t="s">
        <v>1547</v>
      </c>
      <c r="H49" s="74" t="s">
        <v>346</v>
      </c>
      <c r="I49" s="75" t="s">
        <v>97</v>
      </c>
    </row>
    <row r="50" spans="2:9">
      <c r="B50" s="402" t="s">
        <v>273</v>
      </c>
      <c r="C50" s="402" t="s">
        <v>1882</v>
      </c>
      <c r="D50" s="402" t="s">
        <v>102</v>
      </c>
      <c r="E50" s="403" t="s">
        <v>261</v>
      </c>
      <c r="F50" s="473">
        <f>'3.2 Business travel- air'!I23</f>
        <v>0.16098000000000001</v>
      </c>
      <c r="G50" s="403" t="str">
        <f>"kgCO2e/"&amp;E50</f>
        <v>kgCO2e/kilómetros-pasajero</v>
      </c>
      <c r="H50" s="402" t="s">
        <v>1883</v>
      </c>
      <c r="I50" s="402" t="s">
        <v>102</v>
      </c>
    </row>
    <row r="51" spans="2:9">
      <c r="B51" s="402" t="s">
        <v>274</v>
      </c>
      <c r="C51" s="402" t="s">
        <v>1884</v>
      </c>
      <c r="D51" s="402" t="s">
        <v>102</v>
      </c>
      <c r="E51" s="403" t="s">
        <v>261</v>
      </c>
      <c r="F51" s="473">
        <f>'3.2 Business travel- air'!I32</f>
        <v>0.10377</v>
      </c>
      <c r="G51" s="403" t="str">
        <f t="shared" ref="G51:G67" si="3">"kgCO2e/"&amp;E51</f>
        <v>kgCO2e/kilómetros-pasajero</v>
      </c>
      <c r="H51" s="402" t="s">
        <v>1883</v>
      </c>
      <c r="I51" s="402" t="s">
        <v>102</v>
      </c>
    </row>
    <row r="52" spans="2:9">
      <c r="B52" s="402" t="s">
        <v>275</v>
      </c>
      <c r="C52" s="402" t="s">
        <v>1866</v>
      </c>
      <c r="D52" s="402" t="s">
        <v>102</v>
      </c>
      <c r="E52" s="403" t="s">
        <v>258</v>
      </c>
      <c r="F52" s="473">
        <f>'3.2 Business travel- land'!H53</f>
        <v>0.16450000000000001</v>
      </c>
      <c r="G52" s="403" t="str">
        <f t="shared" si="3"/>
        <v>kgCO2e/kilómetros</v>
      </c>
      <c r="H52" s="402" t="s">
        <v>1870</v>
      </c>
      <c r="I52" s="402" t="s">
        <v>102</v>
      </c>
    </row>
    <row r="53" spans="2:9">
      <c r="B53" s="402" t="s">
        <v>276</v>
      </c>
      <c r="C53" s="402" t="s">
        <v>1868</v>
      </c>
      <c r="D53" s="402" t="s">
        <v>102</v>
      </c>
      <c r="E53" s="403" t="s">
        <v>258</v>
      </c>
      <c r="F53" s="473">
        <f>'3.2 Business travel- land'!D53</f>
        <v>0.16983999999999999</v>
      </c>
      <c r="G53" s="403" t="str">
        <f t="shared" si="3"/>
        <v>kgCO2e/kilómetros</v>
      </c>
      <c r="H53" s="402" t="s">
        <v>1870</v>
      </c>
      <c r="I53" s="402" t="s">
        <v>102</v>
      </c>
    </row>
    <row r="54" spans="2:9">
      <c r="B54" s="402" t="s">
        <v>277</v>
      </c>
      <c r="C54" s="402" t="s">
        <v>1869</v>
      </c>
      <c r="D54" s="402" t="s">
        <v>102</v>
      </c>
      <c r="E54" s="403" t="s">
        <v>261</v>
      </c>
      <c r="F54" s="473">
        <f>'3.2 Business travel- land'!D71</f>
        <v>0.14860999999999999</v>
      </c>
      <c r="G54" s="403" t="str">
        <f t="shared" si="3"/>
        <v>kgCO2e/kilómetros-pasajero</v>
      </c>
      <c r="H54" s="402" t="s">
        <v>1870</v>
      </c>
      <c r="I54" s="402" t="s">
        <v>102</v>
      </c>
    </row>
    <row r="55" spans="2:9">
      <c r="B55" s="402" t="s">
        <v>278</v>
      </c>
      <c r="C55" s="402" t="s">
        <v>1871</v>
      </c>
      <c r="D55" s="402" t="s">
        <v>102</v>
      </c>
      <c r="E55" s="403" t="s">
        <v>258</v>
      </c>
      <c r="F55" s="473">
        <f>'3.2 Business travel- land'!D65</f>
        <v>0.11366999999999999</v>
      </c>
      <c r="G55" s="403" t="str">
        <f t="shared" si="3"/>
        <v>kgCO2e/kilómetros</v>
      </c>
      <c r="H55" s="402" t="s">
        <v>1870</v>
      </c>
      <c r="I55" s="402" t="s">
        <v>102</v>
      </c>
    </row>
    <row r="56" spans="2:9">
      <c r="B56" s="402" t="s">
        <v>280</v>
      </c>
      <c r="C56" s="402" t="s">
        <v>1872</v>
      </c>
      <c r="D56" s="402" t="s">
        <v>102</v>
      </c>
      <c r="E56" s="403" t="s">
        <v>261</v>
      </c>
      <c r="F56" s="473">
        <f>'3.2 Business travel- land'!D79</f>
        <v>0.12998999999999999</v>
      </c>
      <c r="G56" s="403" t="str">
        <f t="shared" si="3"/>
        <v>kgCO2e/kilómetros-pasajero</v>
      </c>
      <c r="H56" s="402" t="s">
        <v>1870</v>
      </c>
      <c r="I56" s="402" t="s">
        <v>102</v>
      </c>
    </row>
    <row r="57" spans="2:9">
      <c r="B57" s="402" t="s">
        <v>279</v>
      </c>
      <c r="C57" s="402" t="s">
        <v>1873</v>
      </c>
      <c r="D57" s="402" t="s">
        <v>102</v>
      </c>
      <c r="E57" s="403" t="s">
        <v>261</v>
      </c>
      <c r="F57" s="473">
        <f>'3.2 Business travel- land'!D82</f>
        <v>2.717E-2</v>
      </c>
      <c r="G57" s="403" t="str">
        <f t="shared" si="3"/>
        <v>kgCO2e/kilómetros-pasajero</v>
      </c>
      <c r="H57" s="402" t="s">
        <v>1870</v>
      </c>
      <c r="I57" s="402" t="s">
        <v>102</v>
      </c>
    </row>
    <row r="58" spans="2:9">
      <c r="B58" s="402" t="s">
        <v>281</v>
      </c>
      <c r="C58" s="402" t="s">
        <v>1874</v>
      </c>
      <c r="D58" s="402" t="s">
        <v>102</v>
      </c>
      <c r="E58" s="403" t="s">
        <v>261</v>
      </c>
      <c r="F58" s="473">
        <f>'3.2 Business travel- land'!D81</f>
        <v>0.10846</v>
      </c>
      <c r="G58" s="403" t="str">
        <f t="shared" si="3"/>
        <v>kgCO2e/kilómetros-pasajero</v>
      </c>
      <c r="H58" s="402" t="s">
        <v>1870</v>
      </c>
      <c r="I58" s="402" t="s">
        <v>102</v>
      </c>
    </row>
    <row r="59" spans="2:9">
      <c r="B59" s="402" t="s">
        <v>282</v>
      </c>
      <c r="C59" s="402" t="s">
        <v>102</v>
      </c>
      <c r="D59" s="402" t="s">
        <v>1875</v>
      </c>
      <c r="E59" s="403" t="s">
        <v>261</v>
      </c>
      <c r="F59" s="473">
        <v>1.6E-2</v>
      </c>
      <c r="G59" s="403" t="str">
        <f t="shared" si="3"/>
        <v>kgCO2e/kilómetros-pasajero</v>
      </c>
      <c r="H59" s="402" t="s">
        <v>102</v>
      </c>
      <c r="I59" s="402" t="s">
        <v>1876</v>
      </c>
    </row>
    <row r="60" spans="2:9">
      <c r="B60" s="402" t="s">
        <v>283</v>
      </c>
      <c r="C60" s="402" t="s">
        <v>1877</v>
      </c>
      <c r="D60" s="402" t="s">
        <v>102</v>
      </c>
      <c r="E60" s="403" t="s">
        <v>261</v>
      </c>
      <c r="F60" s="473">
        <f>'3.2 Business travel- land'!D87</f>
        <v>3.5459999999999998E-2</v>
      </c>
      <c r="G60" s="403" t="str">
        <f t="shared" si="3"/>
        <v>kgCO2e/kilómetros-pasajero</v>
      </c>
      <c r="H60" s="402" t="s">
        <v>1870</v>
      </c>
      <c r="I60" s="402" t="s">
        <v>102</v>
      </c>
    </row>
    <row r="61" spans="2:9">
      <c r="B61" s="402" t="s">
        <v>284</v>
      </c>
      <c r="C61" s="402" t="s">
        <v>1885</v>
      </c>
      <c r="D61" s="402" t="s">
        <v>102</v>
      </c>
      <c r="E61" s="403" t="s">
        <v>258</v>
      </c>
      <c r="F61" s="473">
        <f>'3.2 Business travel- land'!D51</f>
        <v>0.20729</v>
      </c>
      <c r="G61" s="403" t="str">
        <f t="shared" si="3"/>
        <v>kgCO2e/kilómetros</v>
      </c>
      <c r="H61" s="402" t="s">
        <v>1870</v>
      </c>
      <c r="I61" s="402" t="s">
        <v>102</v>
      </c>
    </row>
    <row r="62" spans="2:9">
      <c r="B62" s="402" t="s">
        <v>285</v>
      </c>
      <c r="C62" s="402" t="s">
        <v>1886</v>
      </c>
      <c r="D62" s="402" t="s">
        <v>102</v>
      </c>
      <c r="E62" s="403" t="s">
        <v>258</v>
      </c>
      <c r="F62" s="473">
        <f>'3.2 Business travel- land'!H53</f>
        <v>0.16450000000000001</v>
      </c>
      <c r="G62" s="403" t="str">
        <f t="shared" si="3"/>
        <v>kgCO2e/kilómetros</v>
      </c>
      <c r="H62" s="402" t="s">
        <v>1870</v>
      </c>
      <c r="I62" s="402" t="s">
        <v>102</v>
      </c>
    </row>
    <row r="63" spans="2:9">
      <c r="B63" s="402" t="s">
        <v>286</v>
      </c>
      <c r="C63" s="402" t="s">
        <v>1887</v>
      </c>
      <c r="D63" s="402" t="s">
        <v>102</v>
      </c>
      <c r="E63" s="403" t="s">
        <v>258</v>
      </c>
      <c r="F63" s="473">
        <f>'3.2 Business travel- land'!AF51</f>
        <v>4.9250000000000002E-2</v>
      </c>
      <c r="G63" s="403" t="str">
        <f t="shared" si="3"/>
        <v>kgCO2e/kilómetros</v>
      </c>
      <c r="H63" s="402" t="s">
        <v>1870</v>
      </c>
      <c r="I63" s="402" t="s">
        <v>102</v>
      </c>
    </row>
    <row r="64" spans="2:9">
      <c r="B64" s="402" t="s">
        <v>269</v>
      </c>
      <c r="C64" s="402" t="s">
        <v>102</v>
      </c>
      <c r="D64" s="402" t="s">
        <v>102</v>
      </c>
      <c r="E64" s="403" t="s">
        <v>258</v>
      </c>
      <c r="F64" s="473">
        <v>0</v>
      </c>
      <c r="G64" s="403" t="str">
        <f t="shared" si="3"/>
        <v>kgCO2e/kilómetros</v>
      </c>
      <c r="H64" s="402" t="s">
        <v>1878</v>
      </c>
      <c r="I64" s="402" t="s">
        <v>102</v>
      </c>
    </row>
    <row r="65" spans="2:9">
      <c r="B65" s="402" t="s">
        <v>287</v>
      </c>
      <c r="C65" s="402" t="s">
        <v>1888</v>
      </c>
      <c r="D65" s="402"/>
      <c r="E65" s="403" t="s">
        <v>258</v>
      </c>
      <c r="F65" s="473">
        <f>'3.2 Business travel- land'!AB51</f>
        <v>0.11923</v>
      </c>
      <c r="G65" s="403" t="str">
        <f t="shared" si="3"/>
        <v>kgCO2e/kilómetros</v>
      </c>
      <c r="H65" s="402" t="s">
        <v>1870</v>
      </c>
      <c r="I65" s="402" t="s">
        <v>102</v>
      </c>
    </row>
    <row r="66" spans="2:9">
      <c r="B66" s="402" t="s">
        <v>288</v>
      </c>
      <c r="C66" s="402" t="s">
        <v>1879</v>
      </c>
      <c r="D66" s="402" t="s">
        <v>102</v>
      </c>
      <c r="E66" s="403" t="s">
        <v>258</v>
      </c>
      <c r="F66" s="473">
        <f>'3.2 Business travel- land'!AB53</f>
        <v>0.10853</v>
      </c>
      <c r="G66" s="403" t="str">
        <f t="shared" si="3"/>
        <v>kgCO2e/kilómetros</v>
      </c>
      <c r="H66" s="402" t="s">
        <v>1870</v>
      </c>
      <c r="I66" s="402" t="s">
        <v>102</v>
      </c>
    </row>
    <row r="67" spans="2:9">
      <c r="B67" s="402" t="s">
        <v>289</v>
      </c>
      <c r="C67" s="402" t="s">
        <v>1880</v>
      </c>
      <c r="D67" s="402" t="s">
        <v>102</v>
      </c>
      <c r="E67" s="403" t="s">
        <v>258</v>
      </c>
      <c r="F67" s="473">
        <f>'3.2 Business travel- land'!AF53</f>
        <v>4.7449999999999999E-2</v>
      </c>
      <c r="G67" s="403" t="str">
        <f t="shared" si="3"/>
        <v>kgCO2e/kilómetros</v>
      </c>
      <c r="H67" s="402" t="s">
        <v>1870</v>
      </c>
      <c r="I67" s="402" t="s">
        <v>102</v>
      </c>
    </row>
  </sheetData>
  <sheetProtection algorithmName="SHA-512" hashValue="hOHAs3OyzP11WShc+TPTfsPmUTHAlyqYkaWQUwC4V31SZqPKJmd5a+AixbZouh31xxM0PMCavXzCekz7ZBlYJg==" saltValue="+qRfh1rR4C7AcJJ0u3cWxA==" spinCount="100000" sheet="1" objects="1" scenarios="1" autoFilter="0"/>
  <autoFilter ref="B6:I6" xr:uid="{00000000-0001-0000-2300-000000000000}"/>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pageSetUpPr fitToPage="1"/>
  </sheetPr>
  <dimension ref="A1:X69"/>
  <sheetViews>
    <sheetView workbookViewId="0"/>
  </sheetViews>
  <sheetFormatPr baseColWidth="10" defaultColWidth="11.33203125" defaultRowHeight="14.4"/>
  <cols>
    <col min="1" max="1" width="16.5546875" style="168" customWidth="1"/>
    <col min="2" max="2" width="20.6640625" style="168" customWidth="1"/>
    <col min="3" max="3" width="23.33203125" style="168" customWidth="1"/>
    <col min="4" max="4" width="17.33203125" style="168" customWidth="1"/>
    <col min="5" max="5" width="17" style="168" customWidth="1"/>
    <col min="6" max="6" width="20.6640625" style="168" bestFit="1" customWidth="1"/>
    <col min="7" max="7" width="20.5546875" style="168" bestFit="1" customWidth="1"/>
    <col min="8" max="8" width="21" style="168" bestFit="1" customWidth="1"/>
    <col min="9" max="9" width="17" style="168" customWidth="1"/>
    <col min="10" max="10" width="20.6640625" style="168" bestFit="1" customWidth="1"/>
    <col min="11" max="11" width="20.5546875" style="168" bestFit="1" customWidth="1"/>
    <col min="12" max="12" width="21" style="168" bestFit="1" customWidth="1"/>
    <col min="13" max="13" width="51.33203125" style="168" customWidth="1"/>
    <col min="14" max="16384" width="11.33203125" style="168"/>
  </cols>
  <sheetData>
    <row r="1" spans="1:24" s="164" customFormat="1" ht="10.199999999999999">
      <c r="A1" s="164" t="s">
        <v>1606</v>
      </c>
    </row>
    <row r="2" spans="1:24" ht="21">
      <c r="A2" s="165" t="s">
        <v>1890</v>
      </c>
      <c r="B2" s="165"/>
      <c r="C2" s="165"/>
      <c r="D2" s="165"/>
      <c r="E2" s="165"/>
      <c r="F2" s="165"/>
      <c r="G2" s="167"/>
      <c r="H2" s="167"/>
      <c r="I2" s="167"/>
      <c r="J2" s="167"/>
      <c r="K2" s="167"/>
      <c r="L2" s="167"/>
      <c r="M2" s="167"/>
      <c r="N2" s="167"/>
      <c r="O2" s="167"/>
      <c r="P2" s="167"/>
      <c r="Q2" s="167"/>
      <c r="R2" s="167"/>
      <c r="S2" s="167"/>
      <c r="T2" s="167"/>
      <c r="U2" s="167"/>
      <c r="V2" s="167"/>
      <c r="W2" s="167"/>
      <c r="X2" s="167"/>
    </row>
    <row r="3" spans="1:24">
      <c r="A3" s="169" t="s">
        <v>1608</v>
      </c>
      <c r="B3" s="167"/>
      <c r="C3" s="167"/>
      <c r="D3" s="167"/>
      <c r="E3" s="167"/>
      <c r="F3" s="167"/>
      <c r="G3" s="167"/>
      <c r="H3" s="167"/>
      <c r="I3" s="167"/>
      <c r="J3" s="167"/>
      <c r="K3" s="167"/>
      <c r="L3" s="167"/>
      <c r="M3" s="167"/>
      <c r="N3" s="167"/>
      <c r="O3" s="167"/>
      <c r="P3" s="167"/>
      <c r="Q3" s="167"/>
      <c r="R3" s="167"/>
      <c r="S3" s="167"/>
      <c r="T3" s="167"/>
      <c r="U3" s="167"/>
      <c r="V3" s="167"/>
      <c r="W3" s="167"/>
      <c r="X3" s="167"/>
    </row>
    <row r="4" spans="1:24"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row>
    <row r="5" spans="1:24" ht="15" thickTop="1">
      <c r="A5" s="177" t="s">
        <v>1609</v>
      </c>
      <c r="B5" s="178" t="s">
        <v>1890</v>
      </c>
      <c r="C5" s="177" t="s">
        <v>1610</v>
      </c>
      <c r="D5" s="179">
        <v>45818</v>
      </c>
      <c r="E5" s="207" t="s">
        <v>1611</v>
      </c>
      <c r="F5" s="179" t="s">
        <v>1612</v>
      </c>
      <c r="G5" s="167"/>
      <c r="H5" s="167"/>
      <c r="I5" s="167"/>
      <c r="J5" s="167"/>
      <c r="K5" s="167"/>
      <c r="L5" s="167"/>
      <c r="M5" s="167"/>
      <c r="N5" s="167"/>
      <c r="O5" s="167"/>
      <c r="P5" s="167"/>
      <c r="Q5" s="167"/>
      <c r="R5" s="167"/>
      <c r="S5" s="167"/>
      <c r="T5" s="167"/>
      <c r="U5" s="167"/>
      <c r="V5" s="167"/>
      <c r="W5" s="167"/>
      <c r="X5" s="167"/>
    </row>
    <row r="6" spans="1:24" ht="15" thickBot="1">
      <c r="A6" s="182" t="s">
        <v>1613</v>
      </c>
      <c r="B6" s="183" t="s">
        <v>1614</v>
      </c>
      <c r="C6" s="184" t="s">
        <v>1615</v>
      </c>
      <c r="D6" s="231">
        <v>1.1000000000000001</v>
      </c>
      <c r="E6" s="184" t="s">
        <v>1616</v>
      </c>
      <c r="F6" s="209">
        <v>2024</v>
      </c>
      <c r="G6" s="167"/>
      <c r="H6" s="167"/>
      <c r="I6" s="167"/>
      <c r="J6" s="167"/>
      <c r="K6" s="167"/>
      <c r="L6" s="167"/>
      <c r="M6" s="167"/>
      <c r="N6" s="167"/>
      <c r="O6" s="167"/>
      <c r="P6" s="167"/>
      <c r="Q6" s="167"/>
      <c r="R6" s="167"/>
      <c r="S6" s="167"/>
      <c r="T6" s="167"/>
      <c r="U6" s="167"/>
      <c r="V6" s="167"/>
      <c r="W6" s="167"/>
      <c r="X6" s="167"/>
    </row>
    <row r="7" spans="1:24"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row>
    <row r="8" spans="1:24" ht="17.25" customHeight="1" thickTop="1" thickBot="1">
      <c r="A8" s="665" t="s">
        <v>1891</v>
      </c>
      <c r="B8" s="666"/>
      <c r="C8" s="666"/>
      <c r="D8" s="666"/>
      <c r="E8" s="666"/>
      <c r="F8" s="666"/>
      <c r="G8" s="666"/>
      <c r="H8" s="666"/>
      <c r="I8" s="666"/>
      <c r="J8" s="666"/>
      <c r="K8" s="666"/>
      <c r="L8" s="667"/>
      <c r="M8" s="191"/>
      <c r="N8" s="191"/>
      <c r="O8" s="191"/>
      <c r="P8" s="191"/>
      <c r="Q8" s="191"/>
      <c r="R8" s="191"/>
      <c r="S8" s="191"/>
      <c r="T8" s="191"/>
      <c r="U8" s="191"/>
      <c r="V8" s="191"/>
      <c r="W8" s="191"/>
      <c r="X8" s="191"/>
    </row>
    <row r="9" spans="1:24" ht="15" thickTop="1">
      <c r="A9" s="668"/>
      <c r="B9" s="677"/>
      <c r="C9" s="677"/>
      <c r="D9" s="677"/>
      <c r="E9" s="677"/>
      <c r="F9" s="677"/>
      <c r="G9" s="677"/>
      <c r="H9" s="677"/>
      <c r="I9" s="677"/>
      <c r="J9" s="677"/>
      <c r="K9" s="677"/>
      <c r="L9" s="677"/>
      <c r="M9" s="191"/>
      <c r="N9" s="191"/>
      <c r="O9" s="191"/>
      <c r="P9" s="191"/>
      <c r="Q9" s="191"/>
      <c r="R9" s="191"/>
      <c r="S9" s="191"/>
      <c r="T9" s="191"/>
      <c r="U9" s="191"/>
      <c r="V9" s="191"/>
      <c r="W9" s="191"/>
      <c r="X9" s="191"/>
    </row>
    <row r="10" spans="1:24" s="167" customFormat="1" ht="15" customHeight="1">
      <c r="A10" s="669" t="s">
        <v>1618</v>
      </c>
      <c r="B10" s="669"/>
      <c r="C10" s="669"/>
      <c r="D10" s="669"/>
      <c r="E10" s="669"/>
      <c r="F10" s="669"/>
      <c r="G10" s="669"/>
      <c r="H10" s="669"/>
      <c r="I10" s="669"/>
      <c r="J10" s="669"/>
      <c r="K10" s="669"/>
      <c r="L10" s="669"/>
      <c r="M10" s="191"/>
      <c r="N10" s="191"/>
      <c r="O10" s="191"/>
      <c r="P10" s="191"/>
      <c r="Q10" s="191"/>
      <c r="R10" s="191"/>
      <c r="S10" s="191"/>
      <c r="T10" s="191"/>
      <c r="U10" s="191"/>
      <c r="V10" s="191"/>
      <c r="W10" s="191"/>
      <c r="X10" s="191"/>
    </row>
    <row r="11" spans="1:24" s="167" customFormat="1" ht="36.75" customHeight="1">
      <c r="A11" s="668" t="s">
        <v>1892</v>
      </c>
      <c r="B11" s="668"/>
      <c r="C11" s="668"/>
      <c r="D11" s="668"/>
      <c r="E11" s="668"/>
      <c r="F11" s="668"/>
      <c r="G11" s="668"/>
      <c r="H11" s="668"/>
      <c r="I11" s="668"/>
      <c r="J11" s="668"/>
      <c r="K11" s="668"/>
      <c r="L11" s="668"/>
      <c r="M11" s="191"/>
      <c r="N11" s="191"/>
      <c r="O11" s="191"/>
      <c r="P11" s="191"/>
      <c r="Q11" s="191"/>
      <c r="R11" s="191"/>
      <c r="S11" s="191"/>
      <c r="T11" s="191"/>
      <c r="U11" s="191"/>
      <c r="V11" s="191"/>
      <c r="W11" s="191"/>
      <c r="X11" s="191"/>
    </row>
    <row r="12" spans="1:24" s="167" customFormat="1" ht="36.75" customHeight="1">
      <c r="A12" s="668" t="s">
        <v>1893</v>
      </c>
      <c r="B12" s="668"/>
      <c r="C12" s="668"/>
      <c r="D12" s="668"/>
      <c r="E12" s="668"/>
      <c r="F12" s="668"/>
      <c r="G12" s="668"/>
      <c r="H12" s="668"/>
      <c r="I12" s="668"/>
      <c r="J12" s="668"/>
      <c r="K12" s="668"/>
      <c r="L12" s="668"/>
      <c r="M12" s="714"/>
      <c r="N12" s="714"/>
      <c r="O12" s="714"/>
      <c r="P12" s="714"/>
      <c r="Q12" s="714"/>
      <c r="R12" s="714"/>
      <c r="S12" s="714"/>
      <c r="T12" s="714"/>
      <c r="U12" s="714"/>
      <c r="V12" s="714"/>
      <c r="W12" s="714"/>
      <c r="X12" s="714"/>
    </row>
    <row r="13" spans="1:24" s="167" customFormat="1" ht="32.25" customHeight="1">
      <c r="A13" s="668" t="s">
        <v>1894</v>
      </c>
      <c r="B13" s="668"/>
      <c r="C13" s="668"/>
      <c r="D13" s="668"/>
      <c r="E13" s="668"/>
      <c r="F13" s="668"/>
      <c r="G13" s="668"/>
      <c r="H13" s="668"/>
      <c r="I13" s="668"/>
      <c r="J13" s="668"/>
      <c r="K13" s="668"/>
      <c r="L13" s="668"/>
      <c r="M13" s="191"/>
      <c r="N13" s="191"/>
      <c r="O13" s="191"/>
      <c r="P13" s="191"/>
      <c r="Q13" s="191"/>
      <c r="R13" s="191"/>
      <c r="S13" s="191"/>
      <c r="T13" s="191"/>
      <c r="U13" s="191"/>
      <c r="V13" s="191"/>
      <c r="W13" s="191"/>
      <c r="X13" s="191"/>
    </row>
    <row r="14" spans="1:24">
      <c r="A14" s="668"/>
      <c r="B14" s="677"/>
      <c r="C14" s="677"/>
      <c r="D14" s="677"/>
      <c r="E14" s="677"/>
      <c r="F14" s="677"/>
      <c r="G14" s="677"/>
      <c r="H14" s="677"/>
      <c r="I14" s="677"/>
      <c r="J14" s="677"/>
      <c r="K14" s="677"/>
      <c r="L14" s="677"/>
      <c r="M14" s="191"/>
      <c r="N14" s="191"/>
      <c r="O14" s="191"/>
      <c r="P14" s="191"/>
      <c r="Q14" s="191"/>
      <c r="R14" s="191"/>
      <c r="S14" s="191"/>
      <c r="T14" s="191"/>
      <c r="U14" s="191"/>
      <c r="V14" s="191"/>
      <c r="W14" s="191"/>
      <c r="X14" s="191"/>
    </row>
    <row r="15" spans="1:24" s="167" customFormat="1" ht="25.5" customHeight="1">
      <c r="A15" s="669" t="s">
        <v>1895</v>
      </c>
      <c r="B15" s="669"/>
      <c r="C15" s="669"/>
      <c r="D15" s="669"/>
      <c r="E15" s="669"/>
      <c r="F15" s="669"/>
      <c r="G15" s="669"/>
      <c r="H15" s="669"/>
      <c r="I15" s="669"/>
      <c r="J15" s="669"/>
      <c r="K15" s="669"/>
      <c r="L15" s="669"/>
      <c r="M15" s="191"/>
      <c r="N15" s="191"/>
      <c r="O15" s="191"/>
      <c r="P15" s="191"/>
      <c r="Q15" s="191"/>
      <c r="R15" s="191"/>
      <c r="S15" s="191"/>
      <c r="T15" s="191"/>
      <c r="U15" s="191"/>
      <c r="V15" s="191"/>
      <c r="W15" s="191"/>
      <c r="X15" s="191"/>
    </row>
    <row r="16" spans="1:24" s="167" customFormat="1" ht="31.5" customHeight="1">
      <c r="A16" s="668" t="s">
        <v>1896</v>
      </c>
      <c r="B16" s="668"/>
      <c r="C16" s="668"/>
      <c r="D16" s="668"/>
      <c r="E16" s="668"/>
      <c r="F16" s="668"/>
      <c r="G16" s="668"/>
      <c r="H16" s="668"/>
      <c r="I16" s="668"/>
      <c r="J16" s="668"/>
      <c r="K16" s="668"/>
      <c r="L16" s="668"/>
      <c r="M16" s="191"/>
      <c r="N16" s="191"/>
      <c r="O16" s="191"/>
      <c r="P16" s="191"/>
      <c r="Q16" s="191"/>
      <c r="R16" s="191"/>
      <c r="S16" s="191"/>
      <c r="T16" s="191"/>
      <c r="U16" s="191"/>
      <c r="V16" s="191"/>
      <c r="W16" s="191"/>
      <c r="X16" s="191"/>
    </row>
    <row r="17" spans="1:24" s="167" customFormat="1" ht="16.5" customHeight="1">
      <c r="A17" s="668" t="s">
        <v>1897</v>
      </c>
      <c r="B17" s="668"/>
      <c r="C17" s="668"/>
      <c r="D17" s="668"/>
      <c r="E17" s="668"/>
      <c r="F17" s="668"/>
      <c r="G17" s="668"/>
      <c r="H17" s="668"/>
      <c r="I17" s="668"/>
      <c r="J17" s="668"/>
      <c r="K17" s="668"/>
      <c r="L17" s="668"/>
      <c r="M17" s="191"/>
      <c r="N17" s="191"/>
      <c r="O17" s="191"/>
      <c r="P17" s="191"/>
      <c r="Q17" s="191"/>
      <c r="R17" s="191"/>
      <c r="S17" s="191"/>
      <c r="T17" s="191"/>
      <c r="U17" s="191"/>
      <c r="V17" s="191"/>
      <c r="W17" s="191"/>
      <c r="X17" s="191"/>
    </row>
    <row r="18" spans="1:24" s="167" customFormat="1" ht="33.75" customHeight="1">
      <c r="A18" s="668" t="s">
        <v>1898</v>
      </c>
      <c r="B18" s="668"/>
      <c r="C18" s="668"/>
      <c r="D18" s="668"/>
      <c r="E18" s="668"/>
      <c r="F18" s="668"/>
      <c r="G18" s="668"/>
      <c r="H18" s="668"/>
      <c r="I18" s="668"/>
      <c r="J18" s="668"/>
      <c r="K18" s="668"/>
      <c r="L18" s="668"/>
      <c r="M18" s="191"/>
      <c r="N18" s="223"/>
      <c r="O18" s="191"/>
      <c r="P18" s="191"/>
      <c r="Q18" s="191"/>
      <c r="R18" s="191"/>
      <c r="S18" s="191"/>
      <c r="T18" s="191"/>
      <c r="U18" s="191"/>
      <c r="V18" s="191"/>
      <c r="W18" s="191"/>
      <c r="X18" s="191"/>
    </row>
    <row r="19" spans="1:24" s="167" customFormat="1" ht="16.5" customHeight="1">
      <c r="A19" s="190"/>
      <c r="B19" s="190"/>
      <c r="C19" s="190"/>
      <c r="D19" s="190"/>
      <c r="E19" s="190"/>
      <c r="F19" s="190"/>
      <c r="G19" s="190"/>
      <c r="H19" s="190"/>
      <c r="I19" s="190"/>
      <c r="J19" s="190"/>
      <c r="K19" s="190"/>
      <c r="L19" s="190"/>
      <c r="M19" s="191"/>
      <c r="N19" s="223"/>
      <c r="O19" s="191"/>
      <c r="P19" s="191"/>
      <c r="Q19" s="191"/>
      <c r="R19" s="191"/>
      <c r="S19" s="191"/>
      <c r="T19" s="191"/>
      <c r="U19" s="191"/>
      <c r="V19" s="191"/>
      <c r="W19" s="191"/>
      <c r="X19" s="191"/>
    </row>
    <row r="20" spans="1:24" s="194" customFormat="1" ht="17.25" customHeight="1">
      <c r="A20" s="192"/>
      <c r="B20" s="192"/>
      <c r="C20" s="192"/>
      <c r="D20" s="192"/>
      <c r="E20" s="215"/>
      <c r="F20" s="215"/>
      <c r="G20" s="215"/>
      <c r="H20" s="215"/>
      <c r="I20" s="215"/>
      <c r="J20" s="215"/>
      <c r="K20" s="215"/>
      <c r="L20" s="215"/>
      <c r="M20" s="192"/>
      <c r="N20" s="192"/>
      <c r="O20" s="192"/>
      <c r="P20" s="192"/>
      <c r="Q20" s="192"/>
      <c r="R20" s="192"/>
      <c r="S20" s="192"/>
      <c r="T20" s="192"/>
      <c r="U20" s="192"/>
      <c r="V20" s="192"/>
      <c r="W20" s="192"/>
      <c r="X20" s="192"/>
    </row>
    <row r="21" spans="1:24" s="194" customFormat="1">
      <c r="A21" s="235"/>
      <c r="B21" s="235"/>
      <c r="C21" s="235"/>
      <c r="D21" s="235"/>
      <c r="E21" s="715" t="s">
        <v>1899</v>
      </c>
      <c r="F21" s="716"/>
      <c r="G21" s="716"/>
      <c r="H21" s="717"/>
      <c r="I21" s="718" t="s">
        <v>1900</v>
      </c>
      <c r="J21" s="716"/>
      <c r="K21" s="716"/>
      <c r="L21" s="717"/>
    </row>
    <row r="22" spans="1:24" s="194" customFormat="1" ht="15.6">
      <c r="A22" s="286" t="s">
        <v>1629</v>
      </c>
      <c r="B22" s="287" t="s">
        <v>1901</v>
      </c>
      <c r="C22" s="287" t="s">
        <v>1902</v>
      </c>
      <c r="D22" s="288" t="s">
        <v>1631</v>
      </c>
      <c r="E22" s="289" t="s">
        <v>1632</v>
      </c>
      <c r="F22" s="290" t="s">
        <v>1903</v>
      </c>
      <c r="G22" s="290" t="s">
        <v>1904</v>
      </c>
      <c r="H22" s="291" t="s">
        <v>1905</v>
      </c>
      <c r="I22" s="292" t="s">
        <v>1632</v>
      </c>
      <c r="J22" s="290" t="s">
        <v>1903</v>
      </c>
      <c r="K22" s="290" t="s">
        <v>1904</v>
      </c>
      <c r="L22" s="291" t="s">
        <v>1905</v>
      </c>
    </row>
    <row r="23" spans="1:24" s="194" customFormat="1">
      <c r="A23" s="719" t="s">
        <v>1906</v>
      </c>
      <c r="B23" s="233" t="s">
        <v>1907</v>
      </c>
      <c r="C23" s="233" t="s">
        <v>1908</v>
      </c>
      <c r="D23" s="293" t="s">
        <v>1909</v>
      </c>
      <c r="E23" s="294">
        <v>0.27256999999999998</v>
      </c>
      <c r="F23" s="295">
        <v>0.27100999999999997</v>
      </c>
      <c r="G23" s="295">
        <v>2.2000000000000001E-4</v>
      </c>
      <c r="H23" s="295">
        <v>1.34E-3</v>
      </c>
      <c r="I23" s="294">
        <v>0.16098000000000001</v>
      </c>
      <c r="J23" s="295">
        <v>0.15942000000000001</v>
      </c>
      <c r="K23" s="295">
        <v>2.2000000000000001E-4</v>
      </c>
      <c r="L23" s="295">
        <v>1.34E-3</v>
      </c>
      <c r="M23" s="215"/>
    </row>
    <row r="24" spans="1:24" s="194" customFormat="1">
      <c r="A24" s="719"/>
      <c r="B24" s="699" t="s">
        <v>1910</v>
      </c>
      <c r="C24" s="233" t="s">
        <v>1908</v>
      </c>
      <c r="D24" s="293" t="s">
        <v>1909</v>
      </c>
      <c r="E24" s="294">
        <v>0.18592</v>
      </c>
      <c r="F24" s="295">
        <v>0.18498999999999999</v>
      </c>
      <c r="G24" s="295">
        <v>1.0000000000000001E-5</v>
      </c>
      <c r="H24" s="295">
        <v>9.2000000000000003E-4</v>
      </c>
      <c r="I24" s="294">
        <v>0.10974</v>
      </c>
      <c r="J24" s="295">
        <v>0.10881</v>
      </c>
      <c r="K24" s="295">
        <v>1.0000000000000001E-5</v>
      </c>
      <c r="L24" s="295">
        <v>9.2000000000000003E-4</v>
      </c>
      <c r="M24" s="215"/>
    </row>
    <row r="25" spans="1:24" s="194" customFormat="1">
      <c r="A25" s="719"/>
      <c r="B25" s="699"/>
      <c r="C25" s="233" t="s">
        <v>1911</v>
      </c>
      <c r="D25" s="293" t="s">
        <v>1909</v>
      </c>
      <c r="E25" s="294">
        <v>0.18287</v>
      </c>
      <c r="F25" s="295">
        <v>0.18196000000000001</v>
      </c>
      <c r="G25" s="295">
        <v>1.0000000000000001E-5</v>
      </c>
      <c r="H25" s="295">
        <v>8.9999999999999998E-4</v>
      </c>
      <c r="I25" s="294">
        <v>0.10793999999999999</v>
      </c>
      <c r="J25" s="295">
        <v>0.10703</v>
      </c>
      <c r="K25" s="295">
        <v>1.0000000000000001E-5</v>
      </c>
      <c r="L25" s="295">
        <v>8.9999999999999998E-4</v>
      </c>
      <c r="M25" s="215"/>
    </row>
    <row r="26" spans="1:24" s="194" customFormat="1">
      <c r="A26" s="719"/>
      <c r="B26" s="699"/>
      <c r="C26" s="233" t="s">
        <v>1912</v>
      </c>
      <c r="D26" s="293" t="s">
        <v>1909</v>
      </c>
      <c r="E26" s="294">
        <v>0.27429999999999999</v>
      </c>
      <c r="F26" s="295">
        <v>0.27294000000000002</v>
      </c>
      <c r="G26" s="295">
        <v>1.0000000000000001E-5</v>
      </c>
      <c r="H26" s="295">
        <v>1.3500000000000001E-3</v>
      </c>
      <c r="I26" s="294">
        <v>0.16191</v>
      </c>
      <c r="J26" s="295">
        <v>0.16055</v>
      </c>
      <c r="K26" s="295">
        <v>1.0000000000000001E-5</v>
      </c>
      <c r="L26" s="295">
        <v>1.3500000000000001E-3</v>
      </c>
      <c r="M26" s="215"/>
    </row>
    <row r="27" spans="1:24" s="194" customFormat="1">
      <c r="A27" s="719"/>
      <c r="B27" s="699" t="s">
        <v>1913</v>
      </c>
      <c r="C27" s="233" t="s">
        <v>1908</v>
      </c>
      <c r="D27" s="293" t="s">
        <v>1909</v>
      </c>
      <c r="E27" s="294">
        <v>0.26128000000000001</v>
      </c>
      <c r="F27" s="295">
        <v>0.25997999999999999</v>
      </c>
      <c r="G27" s="295">
        <v>1.0000000000000001E-5</v>
      </c>
      <c r="H27" s="295">
        <v>1.2899999999999999E-3</v>
      </c>
      <c r="I27" s="294">
        <v>0.15423000000000001</v>
      </c>
      <c r="J27" s="295">
        <v>0.15293000000000001</v>
      </c>
      <c r="K27" s="295">
        <v>1.0000000000000001E-5</v>
      </c>
      <c r="L27" s="295">
        <v>1.2899999999999999E-3</v>
      </c>
      <c r="M27" s="215"/>
    </row>
    <row r="28" spans="1:24" s="194" customFormat="1">
      <c r="A28" s="719"/>
      <c r="B28" s="699"/>
      <c r="C28" s="233" t="s">
        <v>1911</v>
      </c>
      <c r="D28" s="293" t="s">
        <v>1909</v>
      </c>
      <c r="E28" s="294">
        <v>0.20011000000000001</v>
      </c>
      <c r="F28" s="295">
        <v>0.19911000000000001</v>
      </c>
      <c r="G28" s="295">
        <v>1.0000000000000001E-5</v>
      </c>
      <c r="H28" s="295">
        <v>9.8999999999999999E-4</v>
      </c>
      <c r="I28" s="294">
        <v>0.11812</v>
      </c>
      <c r="J28" s="295">
        <v>0.11712</v>
      </c>
      <c r="K28" s="295">
        <v>1.0000000000000001E-5</v>
      </c>
      <c r="L28" s="295">
        <v>9.8999999999999999E-4</v>
      </c>
      <c r="M28" s="215"/>
    </row>
    <row r="29" spans="1:24" s="194" customFormat="1">
      <c r="A29" s="719"/>
      <c r="B29" s="699"/>
      <c r="C29" s="233" t="s">
        <v>1914</v>
      </c>
      <c r="D29" s="293" t="s">
        <v>1909</v>
      </c>
      <c r="E29" s="294">
        <v>0.32014999999999999</v>
      </c>
      <c r="F29" s="295">
        <v>0.31857000000000002</v>
      </c>
      <c r="G29" s="295">
        <v>1.0000000000000001E-5</v>
      </c>
      <c r="H29" s="295">
        <v>1.57E-3</v>
      </c>
      <c r="I29" s="294">
        <v>0.18897</v>
      </c>
      <c r="J29" s="295">
        <v>0.18739</v>
      </c>
      <c r="K29" s="295">
        <v>1.0000000000000001E-5</v>
      </c>
      <c r="L29" s="295">
        <v>1.57E-3</v>
      </c>
      <c r="M29" s="215"/>
    </row>
    <row r="30" spans="1:24" s="194" customFormat="1">
      <c r="A30" s="719"/>
      <c r="B30" s="699"/>
      <c r="C30" s="233" t="s">
        <v>1912</v>
      </c>
      <c r="D30" s="293" t="s">
        <v>1909</v>
      </c>
      <c r="E30" s="294">
        <v>0.58028000000000002</v>
      </c>
      <c r="F30" s="295">
        <v>0.57740999999999998</v>
      </c>
      <c r="G30" s="295">
        <v>2.0000000000000002E-5</v>
      </c>
      <c r="H30" s="295">
        <v>2.8500000000000001E-3</v>
      </c>
      <c r="I30" s="294">
        <v>0.34251999999999999</v>
      </c>
      <c r="J30" s="295">
        <v>0.33965000000000001</v>
      </c>
      <c r="K30" s="295">
        <v>2.0000000000000002E-5</v>
      </c>
      <c r="L30" s="295">
        <v>2.8500000000000001E-3</v>
      </c>
      <c r="M30" s="215"/>
    </row>
    <row r="31" spans="1:24" s="194" customFormat="1">
      <c r="A31" s="719"/>
      <c r="B31" s="699"/>
      <c r="C31" s="233" t="s">
        <v>1915</v>
      </c>
      <c r="D31" s="293" t="s">
        <v>1909</v>
      </c>
      <c r="E31" s="294">
        <v>0.8004</v>
      </c>
      <c r="F31" s="295">
        <v>0.79642999999999997</v>
      </c>
      <c r="G31" s="295">
        <v>3.0000000000000001E-5</v>
      </c>
      <c r="H31" s="295">
        <v>3.9399999999999999E-3</v>
      </c>
      <c r="I31" s="294">
        <v>0.47245999999999999</v>
      </c>
      <c r="J31" s="295">
        <v>0.46849000000000002</v>
      </c>
      <c r="K31" s="295">
        <v>3.0000000000000001E-5</v>
      </c>
      <c r="L31" s="295">
        <v>3.9399999999999999E-3</v>
      </c>
      <c r="M31" s="215"/>
    </row>
    <row r="32" spans="1:24" s="194" customFormat="1">
      <c r="A32" s="719"/>
      <c r="B32" s="699" t="s">
        <v>1916</v>
      </c>
      <c r="C32" s="233" t="s">
        <v>1908</v>
      </c>
      <c r="D32" s="293" t="s">
        <v>1909</v>
      </c>
      <c r="E32" s="294">
        <v>0.17580000000000001</v>
      </c>
      <c r="F32" s="295">
        <v>0.17493</v>
      </c>
      <c r="G32" s="295">
        <v>1.0000000000000001E-5</v>
      </c>
      <c r="H32" s="295">
        <v>8.5999999999999998E-4</v>
      </c>
      <c r="I32" s="294">
        <v>0.10377</v>
      </c>
      <c r="J32" s="295">
        <v>0.10290000000000001</v>
      </c>
      <c r="K32" s="295">
        <v>1.0000000000000001E-5</v>
      </c>
      <c r="L32" s="295">
        <v>8.5999999999999998E-4</v>
      </c>
      <c r="M32" s="215"/>
    </row>
    <row r="33" spans="1:24" s="194" customFormat="1">
      <c r="A33" s="719"/>
      <c r="B33" s="699"/>
      <c r="C33" s="233" t="s">
        <v>1911</v>
      </c>
      <c r="D33" s="293" t="s">
        <v>1909</v>
      </c>
      <c r="E33" s="294">
        <v>0.13464999999999999</v>
      </c>
      <c r="F33" s="295">
        <v>0.13397000000000001</v>
      </c>
      <c r="G33" s="295">
        <v>1.0000000000000001E-5</v>
      </c>
      <c r="H33" s="295">
        <v>6.7000000000000002E-4</v>
      </c>
      <c r="I33" s="294">
        <v>7.9479999999999995E-2</v>
      </c>
      <c r="J33" s="295">
        <v>7.8799999999999995E-2</v>
      </c>
      <c r="K33" s="295">
        <v>1.0000000000000001E-5</v>
      </c>
      <c r="L33" s="295">
        <v>6.7000000000000002E-4</v>
      </c>
      <c r="M33" s="215"/>
    </row>
    <row r="34" spans="1:24" s="194" customFormat="1">
      <c r="A34" s="719"/>
      <c r="B34" s="699"/>
      <c r="C34" s="233" t="s">
        <v>1914</v>
      </c>
      <c r="D34" s="293" t="s">
        <v>1909</v>
      </c>
      <c r="E34" s="294">
        <v>0.21542</v>
      </c>
      <c r="F34" s="295">
        <v>0.21435000000000001</v>
      </c>
      <c r="G34" s="295">
        <v>1.0000000000000001E-5</v>
      </c>
      <c r="H34" s="295">
        <v>1.06E-3</v>
      </c>
      <c r="I34" s="294">
        <v>0.12716</v>
      </c>
      <c r="J34" s="295">
        <v>0.12609000000000001</v>
      </c>
      <c r="K34" s="295">
        <v>1.0000000000000001E-5</v>
      </c>
      <c r="L34" s="295">
        <v>1.06E-3</v>
      </c>
      <c r="M34" s="215"/>
    </row>
    <row r="35" spans="1:24" s="194" customFormat="1">
      <c r="A35" s="719"/>
      <c r="B35" s="699"/>
      <c r="C35" s="233" t="s">
        <v>1912</v>
      </c>
      <c r="D35" s="293" t="s">
        <v>1909</v>
      </c>
      <c r="E35" s="294">
        <v>0.39044000000000001</v>
      </c>
      <c r="F35" s="295">
        <v>0.38850000000000001</v>
      </c>
      <c r="G35" s="295">
        <v>2.0000000000000002E-5</v>
      </c>
      <c r="H35" s="295">
        <v>1.92E-3</v>
      </c>
      <c r="I35" s="294">
        <v>0.23047000000000001</v>
      </c>
      <c r="J35" s="295">
        <v>0.22853000000000001</v>
      </c>
      <c r="K35" s="295">
        <v>2.0000000000000002E-5</v>
      </c>
      <c r="L35" s="295">
        <v>1.92E-3</v>
      </c>
      <c r="M35" s="215"/>
    </row>
    <row r="36" spans="1:24" s="194" customFormat="1">
      <c r="A36" s="720"/>
      <c r="B36" s="721"/>
      <c r="C36" s="296" t="s">
        <v>1915</v>
      </c>
      <c r="D36" s="297" t="s">
        <v>1909</v>
      </c>
      <c r="E36" s="294">
        <v>0.53854000000000002</v>
      </c>
      <c r="F36" s="295">
        <v>0.53586999999999996</v>
      </c>
      <c r="G36" s="295">
        <v>2.0000000000000002E-5</v>
      </c>
      <c r="H36" s="295">
        <v>2.65E-3</v>
      </c>
      <c r="I36" s="294">
        <v>0.31789000000000001</v>
      </c>
      <c r="J36" s="295">
        <v>0.31522</v>
      </c>
      <c r="K36" s="295">
        <v>2.0000000000000002E-5</v>
      </c>
      <c r="L36" s="295">
        <v>2.65E-3</v>
      </c>
      <c r="M36" s="215"/>
    </row>
    <row r="37" spans="1:24" s="194" customFormat="1">
      <c r="A37" s="238"/>
      <c r="B37" s="238"/>
      <c r="C37" s="238"/>
      <c r="D37" s="238"/>
      <c r="E37" s="238"/>
      <c r="F37" s="238"/>
      <c r="G37" s="238"/>
      <c r="H37" s="238"/>
      <c r="I37" s="238"/>
      <c r="J37" s="238"/>
      <c r="K37" s="238"/>
      <c r="L37" s="238"/>
      <c r="M37" s="192"/>
      <c r="V37" s="192"/>
      <c r="W37" s="192"/>
      <c r="X37" s="192"/>
    </row>
    <row r="38" spans="1:24" s="194" customFormat="1">
      <c r="A38" s="238"/>
      <c r="B38" s="238"/>
      <c r="C38" s="238"/>
      <c r="D38" s="238"/>
      <c r="E38" s="238"/>
      <c r="F38" s="238"/>
      <c r="G38" s="238"/>
      <c r="H38" s="238"/>
      <c r="I38" s="238"/>
      <c r="J38" s="238"/>
      <c r="K38" s="238"/>
      <c r="L38" s="238"/>
      <c r="M38" s="192"/>
      <c r="N38" s="192"/>
      <c r="O38" s="192"/>
      <c r="P38" s="192"/>
      <c r="Q38" s="192"/>
      <c r="R38" s="192"/>
      <c r="S38" s="192"/>
      <c r="T38" s="192"/>
      <c r="U38" s="192"/>
      <c r="V38" s="192"/>
      <c r="W38" s="192"/>
      <c r="X38" s="192"/>
    </row>
    <row r="39" spans="1:24" s="167" customFormat="1" ht="15.6">
      <c r="A39" s="298" t="s">
        <v>1682</v>
      </c>
      <c r="B39" s="191"/>
      <c r="C39" s="191"/>
      <c r="D39" s="191"/>
      <c r="E39" s="191"/>
      <c r="F39" s="191"/>
      <c r="G39" s="191"/>
      <c r="H39" s="191"/>
      <c r="I39" s="191"/>
      <c r="J39" s="191"/>
      <c r="K39" s="191"/>
      <c r="L39" s="191"/>
      <c r="M39" s="191"/>
      <c r="N39" s="191"/>
      <c r="O39" s="191"/>
      <c r="P39" s="191"/>
      <c r="Q39" s="191"/>
      <c r="R39" s="191"/>
      <c r="S39" s="191"/>
      <c r="T39" s="191"/>
      <c r="U39" s="191"/>
      <c r="V39" s="191"/>
      <c r="W39" s="191"/>
      <c r="X39" s="191"/>
    </row>
    <row r="40" spans="1:24" s="167" customFormat="1" ht="18" customHeight="1">
      <c r="A40" s="722" t="s">
        <v>1917</v>
      </c>
      <c r="B40" s="722"/>
      <c r="C40" s="722"/>
      <c r="D40" s="722"/>
      <c r="E40" s="722"/>
      <c r="F40" s="722"/>
      <c r="G40" s="722"/>
      <c r="H40" s="722"/>
      <c r="I40" s="722"/>
      <c r="J40" s="722"/>
      <c r="K40" s="722"/>
      <c r="L40" s="722"/>
      <c r="M40" s="191"/>
      <c r="N40" s="191"/>
      <c r="O40" s="191"/>
      <c r="P40" s="191"/>
      <c r="Q40" s="191"/>
      <c r="R40" s="191"/>
      <c r="S40" s="191"/>
      <c r="T40" s="191"/>
      <c r="U40" s="191"/>
      <c r="V40" s="191"/>
      <c r="W40" s="191"/>
      <c r="X40" s="191"/>
    </row>
    <row r="41" spans="1:24" s="167" customFormat="1" ht="38.25" customHeight="1">
      <c r="A41" s="713" t="s">
        <v>1918</v>
      </c>
      <c r="B41" s="713"/>
      <c r="C41" s="713"/>
      <c r="D41" s="713"/>
      <c r="E41" s="713"/>
      <c r="F41" s="713"/>
      <c r="G41" s="713"/>
      <c r="H41" s="713"/>
      <c r="I41" s="713"/>
      <c r="J41" s="713"/>
      <c r="K41" s="713"/>
      <c r="L41" s="713"/>
      <c r="M41" s="191"/>
      <c r="N41" s="191"/>
      <c r="O41" s="191"/>
      <c r="P41" s="191"/>
      <c r="Q41" s="191"/>
      <c r="R41" s="191"/>
      <c r="S41" s="191"/>
      <c r="T41" s="191"/>
      <c r="U41" s="191"/>
      <c r="V41" s="191"/>
      <c r="W41" s="191"/>
      <c r="X41" s="191"/>
    </row>
    <row r="42" spans="1:24" s="167" customFormat="1" ht="16.350000000000001" customHeight="1">
      <c r="A42" s="722" t="s">
        <v>1919</v>
      </c>
      <c r="B42" s="722"/>
      <c r="C42" s="722"/>
      <c r="D42" s="722"/>
      <c r="E42" s="722"/>
      <c r="F42" s="722"/>
      <c r="G42" s="722"/>
      <c r="H42" s="722"/>
      <c r="I42" s="722"/>
      <c r="J42" s="722"/>
      <c r="K42" s="722"/>
      <c r="L42" s="722"/>
      <c r="M42" s="191"/>
      <c r="N42" s="191"/>
      <c r="O42" s="191"/>
      <c r="P42" s="191"/>
      <c r="Q42" s="191"/>
      <c r="R42" s="191"/>
      <c r="S42" s="191"/>
      <c r="T42" s="191"/>
      <c r="U42" s="191"/>
      <c r="V42" s="191"/>
      <c r="W42" s="191"/>
      <c r="X42" s="191"/>
    </row>
    <row r="43" spans="1:24" s="167" customFormat="1" ht="39" customHeight="1">
      <c r="A43" s="713" t="s">
        <v>1920</v>
      </c>
      <c r="B43" s="713"/>
      <c r="C43" s="713"/>
      <c r="D43" s="713"/>
      <c r="E43" s="713"/>
      <c r="F43" s="713"/>
      <c r="G43" s="713"/>
      <c r="H43" s="713"/>
      <c r="I43" s="713"/>
      <c r="J43" s="713"/>
      <c r="K43" s="713"/>
      <c r="L43" s="713"/>
      <c r="M43" s="191"/>
      <c r="N43" s="191"/>
      <c r="O43" s="191"/>
      <c r="P43" s="191"/>
      <c r="Q43" s="191"/>
      <c r="R43" s="191"/>
      <c r="S43" s="191"/>
      <c r="T43" s="191"/>
      <c r="U43" s="191"/>
      <c r="V43" s="191"/>
      <c r="W43" s="191"/>
      <c r="X43" s="191"/>
    </row>
    <row r="44" spans="1:24" s="167" customFormat="1" ht="19.5" customHeight="1">
      <c r="A44" s="722" t="s">
        <v>1921</v>
      </c>
      <c r="B44" s="722"/>
      <c r="C44" s="722"/>
      <c r="D44" s="722"/>
      <c r="E44" s="722"/>
      <c r="F44" s="722"/>
      <c r="G44" s="722"/>
      <c r="H44" s="722"/>
      <c r="I44" s="722"/>
      <c r="J44" s="722"/>
      <c r="K44" s="722"/>
      <c r="L44" s="722"/>
      <c r="M44" s="191"/>
      <c r="N44" s="191"/>
      <c r="O44" s="191"/>
      <c r="P44" s="191"/>
      <c r="Q44" s="191"/>
      <c r="R44" s="191"/>
      <c r="S44" s="191"/>
      <c r="T44" s="191"/>
      <c r="U44" s="191"/>
      <c r="V44" s="191"/>
      <c r="W44" s="191"/>
      <c r="X44" s="191"/>
    </row>
    <row r="45" spans="1:24" s="167" customFormat="1" ht="47.25" customHeight="1">
      <c r="A45" s="713" t="s">
        <v>1922</v>
      </c>
      <c r="B45" s="713"/>
      <c r="C45" s="713"/>
      <c r="D45" s="713"/>
      <c r="E45" s="713"/>
      <c r="F45" s="713"/>
      <c r="G45" s="713"/>
      <c r="H45" s="713"/>
      <c r="I45" s="713"/>
      <c r="J45" s="713"/>
      <c r="K45" s="713"/>
      <c r="L45" s="713"/>
      <c r="M45" s="191"/>
      <c r="N45" s="191"/>
      <c r="O45" s="191"/>
      <c r="P45" s="191"/>
      <c r="Q45" s="191"/>
      <c r="R45" s="191"/>
      <c r="S45" s="191"/>
      <c r="T45" s="191"/>
      <c r="U45" s="191"/>
      <c r="V45" s="191"/>
      <c r="W45" s="191"/>
      <c r="X45" s="191"/>
    </row>
    <row r="46" spans="1:24" s="167" customFormat="1" ht="18" customHeight="1">
      <c r="A46" s="722" t="s">
        <v>1923</v>
      </c>
      <c r="B46" s="722"/>
      <c r="C46" s="722"/>
      <c r="D46" s="722"/>
      <c r="E46" s="722"/>
      <c r="F46" s="722"/>
      <c r="G46" s="722"/>
      <c r="H46" s="722"/>
      <c r="I46" s="722"/>
      <c r="J46" s="722"/>
      <c r="K46" s="722"/>
      <c r="L46" s="722"/>
      <c r="M46" s="191"/>
      <c r="N46" s="191"/>
      <c r="O46" s="191"/>
      <c r="P46" s="191"/>
      <c r="Q46" s="191"/>
      <c r="R46" s="191"/>
      <c r="S46" s="191"/>
      <c r="T46" s="191"/>
      <c r="U46" s="191"/>
      <c r="V46" s="191"/>
      <c r="W46" s="191"/>
      <c r="X46" s="191"/>
    </row>
    <row r="47" spans="1:24" s="167" customFormat="1" ht="75" customHeight="1">
      <c r="A47" s="713" t="s">
        <v>1924</v>
      </c>
      <c r="B47" s="713"/>
      <c r="C47" s="713"/>
      <c r="D47" s="713"/>
      <c r="E47" s="713"/>
      <c r="F47" s="713"/>
      <c r="G47" s="713"/>
      <c r="H47" s="713"/>
      <c r="I47" s="713"/>
      <c r="J47" s="713"/>
      <c r="K47" s="713"/>
      <c r="L47" s="713"/>
      <c r="M47" s="191"/>
      <c r="N47" s="191"/>
      <c r="O47" s="191"/>
      <c r="P47" s="191"/>
      <c r="Q47" s="191"/>
      <c r="R47" s="191"/>
      <c r="S47" s="191"/>
      <c r="T47" s="191"/>
      <c r="U47" s="191"/>
      <c r="V47" s="191"/>
      <c r="W47" s="191"/>
      <c r="X47" s="191"/>
    </row>
    <row r="48" spans="1:24" s="167" customFormat="1" ht="18.75" customHeight="1">
      <c r="A48" s="722" t="s">
        <v>1925</v>
      </c>
      <c r="B48" s="722"/>
      <c r="C48" s="722"/>
      <c r="D48" s="722"/>
      <c r="E48" s="722"/>
      <c r="F48" s="722"/>
      <c r="G48" s="722"/>
      <c r="H48" s="722"/>
      <c r="I48" s="722"/>
      <c r="J48" s="722"/>
      <c r="K48" s="722"/>
      <c r="L48" s="722"/>
      <c r="M48" s="191"/>
      <c r="N48" s="191"/>
      <c r="O48" s="191"/>
      <c r="P48" s="191"/>
      <c r="Q48" s="191"/>
      <c r="R48" s="191"/>
      <c r="S48" s="191"/>
      <c r="T48" s="191"/>
      <c r="U48" s="191"/>
      <c r="V48" s="191"/>
      <c r="W48" s="191"/>
      <c r="X48" s="191"/>
    </row>
    <row r="49" spans="1:24" s="167" customFormat="1" ht="42.75" customHeight="1">
      <c r="A49" s="713" t="s">
        <v>1926</v>
      </c>
      <c r="B49" s="713"/>
      <c r="C49" s="713"/>
      <c r="D49" s="713"/>
      <c r="E49" s="713"/>
      <c r="F49" s="713"/>
      <c r="G49" s="713"/>
      <c r="H49" s="713"/>
      <c r="I49" s="713"/>
      <c r="J49" s="713"/>
      <c r="K49" s="713"/>
      <c r="L49" s="713"/>
      <c r="M49" s="713"/>
      <c r="N49" s="191"/>
      <c r="O49" s="191"/>
      <c r="P49" s="191"/>
      <c r="Q49" s="191"/>
      <c r="R49" s="191"/>
      <c r="S49" s="191"/>
      <c r="T49" s="191"/>
      <c r="U49" s="191"/>
      <c r="V49" s="191"/>
      <c r="W49" s="191"/>
      <c r="X49" s="191"/>
    </row>
    <row r="50" spans="1:24" s="167" customFormat="1" ht="18.75" customHeight="1">
      <c r="A50" s="722" t="s">
        <v>1927</v>
      </c>
      <c r="B50" s="722"/>
      <c r="C50" s="722"/>
      <c r="D50" s="722"/>
      <c r="E50" s="722"/>
      <c r="F50" s="722"/>
      <c r="G50" s="722"/>
      <c r="H50" s="722"/>
      <c r="I50" s="722"/>
      <c r="J50" s="722"/>
      <c r="K50" s="722"/>
      <c r="L50" s="722"/>
      <c r="M50" s="191"/>
      <c r="N50" s="191"/>
      <c r="O50" s="191"/>
      <c r="P50" s="191"/>
      <c r="Q50" s="191"/>
      <c r="R50" s="191"/>
      <c r="S50" s="191"/>
      <c r="T50" s="191"/>
      <c r="U50" s="191"/>
      <c r="V50" s="191"/>
      <c r="W50" s="191"/>
      <c r="X50" s="191"/>
    </row>
    <row r="51" spans="1:24" s="167" customFormat="1" ht="72.75" customHeight="1">
      <c r="A51" s="713" t="s">
        <v>1928</v>
      </c>
      <c r="B51" s="713"/>
      <c r="C51" s="713"/>
      <c r="D51" s="713"/>
      <c r="E51" s="713"/>
      <c r="F51" s="713"/>
      <c r="G51" s="713"/>
      <c r="H51" s="713"/>
      <c r="I51" s="713"/>
      <c r="J51" s="713"/>
      <c r="K51" s="713"/>
      <c r="L51" s="713"/>
      <c r="M51" s="713"/>
      <c r="N51" s="191"/>
      <c r="O51" s="191"/>
      <c r="P51" s="191"/>
      <c r="Q51" s="191"/>
      <c r="R51" s="191"/>
      <c r="S51" s="191"/>
      <c r="T51" s="191"/>
      <c r="U51" s="191"/>
      <c r="V51" s="191"/>
      <c r="W51" s="191"/>
      <c r="X51" s="191"/>
    </row>
    <row r="52" spans="1:24" s="167" customFormat="1" ht="19.5" customHeight="1">
      <c r="A52" s="722" t="s">
        <v>1929</v>
      </c>
      <c r="B52" s="722"/>
      <c r="C52" s="722"/>
      <c r="D52" s="722"/>
      <c r="E52" s="722"/>
      <c r="F52" s="722"/>
      <c r="G52" s="722"/>
      <c r="H52" s="722"/>
      <c r="I52" s="722"/>
      <c r="J52" s="722"/>
      <c r="K52" s="722"/>
      <c r="L52" s="722"/>
      <c r="M52" s="222"/>
      <c r="N52" s="191"/>
      <c r="O52" s="191"/>
      <c r="P52" s="191"/>
      <c r="Q52" s="191"/>
      <c r="R52" s="191"/>
      <c r="S52" s="191"/>
      <c r="T52" s="191"/>
      <c r="U52" s="191"/>
      <c r="V52" s="191"/>
      <c r="W52" s="191"/>
      <c r="X52" s="191"/>
    </row>
    <row r="53" spans="1:24" s="167" customFormat="1" ht="58.5" customHeight="1">
      <c r="A53" s="713" t="s">
        <v>1930</v>
      </c>
      <c r="B53" s="713"/>
      <c r="C53" s="713"/>
      <c r="D53" s="713"/>
      <c r="E53" s="713"/>
      <c r="F53" s="713"/>
      <c r="G53" s="713"/>
      <c r="H53" s="713"/>
      <c r="I53" s="713"/>
      <c r="J53" s="713"/>
      <c r="K53" s="713"/>
      <c r="L53" s="713"/>
      <c r="M53" s="713"/>
      <c r="N53" s="191"/>
      <c r="O53" s="191"/>
      <c r="P53" s="191"/>
      <c r="Q53" s="191"/>
      <c r="R53" s="191"/>
      <c r="S53" s="191"/>
      <c r="T53" s="191"/>
      <c r="U53" s="191"/>
      <c r="V53" s="191"/>
      <c r="W53" s="191"/>
      <c r="X53" s="191"/>
    </row>
    <row r="54" spans="1:24" s="167" customFormat="1">
      <c r="B54" s="299" t="s">
        <v>1931</v>
      </c>
      <c r="C54" s="300"/>
      <c r="D54" s="300"/>
      <c r="E54" s="300"/>
      <c r="F54" s="300"/>
      <c r="G54" s="300"/>
      <c r="H54" s="300"/>
      <c r="I54" s="300"/>
      <c r="J54" s="300"/>
      <c r="K54" s="300"/>
      <c r="L54" s="300"/>
      <c r="M54" s="300"/>
      <c r="N54" s="191"/>
      <c r="O54" s="191"/>
      <c r="P54" s="191"/>
      <c r="Q54" s="191"/>
      <c r="R54" s="191"/>
      <c r="S54" s="191"/>
      <c r="T54" s="191"/>
      <c r="U54" s="191"/>
      <c r="V54" s="191"/>
      <c r="W54" s="191"/>
      <c r="X54" s="191"/>
    </row>
    <row r="55" spans="1:24" s="167" customFormat="1" ht="15" customHeight="1">
      <c r="B55" s="301" t="s">
        <v>1932</v>
      </c>
      <c r="C55" s="302"/>
      <c r="D55" s="302"/>
      <c r="E55" s="302"/>
      <c r="F55" s="302"/>
      <c r="G55" s="302"/>
      <c r="H55" s="302"/>
      <c r="I55" s="302"/>
      <c r="J55" s="302"/>
      <c r="K55" s="302"/>
      <c r="L55" s="302"/>
      <c r="M55" s="302"/>
      <c r="N55" s="191"/>
      <c r="O55" s="191"/>
      <c r="P55" s="191"/>
      <c r="Q55" s="191"/>
      <c r="R55" s="191"/>
      <c r="S55" s="191"/>
      <c r="T55" s="191"/>
      <c r="U55" s="191"/>
      <c r="V55" s="191"/>
      <c r="W55" s="191"/>
      <c r="X55" s="191"/>
    </row>
    <row r="56" spans="1:24" s="191" customFormat="1" ht="24.6" customHeight="1">
      <c r="A56" s="713" t="s">
        <v>1933</v>
      </c>
      <c r="B56" s="713"/>
      <c r="C56" s="713"/>
      <c r="D56" s="713"/>
      <c r="E56" s="713"/>
      <c r="F56" s="713"/>
      <c r="G56" s="713"/>
      <c r="H56" s="713"/>
      <c r="I56" s="713"/>
      <c r="J56" s="713"/>
      <c r="K56" s="713"/>
      <c r="L56" s="713"/>
      <c r="M56" s="222"/>
    </row>
    <row r="57" spans="1:24" s="167" customFormat="1" ht="15" hidden="1" customHeight="1"/>
    <row r="58" spans="1:24" s="167" customFormat="1">
      <c r="A58" s="671" t="s">
        <v>1685</v>
      </c>
      <c r="B58" s="671"/>
      <c r="C58" s="671"/>
      <c r="D58" s="671"/>
      <c r="E58" s="671"/>
      <c r="F58" s="671"/>
      <c r="G58" s="671"/>
      <c r="H58" s="671"/>
      <c r="I58" s="671"/>
      <c r="J58" s="671"/>
      <c r="K58" s="671"/>
      <c r="L58" s="671"/>
    </row>
    <row r="59" spans="1:24" s="167" customFormat="1"/>
    <row r="60" spans="1:24" s="167" customFormat="1"/>
    <row r="61" spans="1:24" s="167" customFormat="1"/>
    <row r="62" spans="1:24" s="167" customFormat="1"/>
    <row r="63" spans="1:24" s="167" customFormat="1"/>
    <row r="64" spans="1:24" s="167" customFormat="1"/>
    <row r="65" s="167" customFormat="1"/>
    <row r="66" s="167" customFormat="1"/>
    <row r="67" s="167" customFormat="1"/>
    <row r="68" s="167" customFormat="1"/>
    <row r="69" s="167" customFormat="1"/>
  </sheetData>
  <sheetProtection algorithmName="SHA-512" hashValue="+GjEkoSfb8QNxZlKsA8D6cyaHMujcoiQuqWYmUHjnovsCASt+0OI3OX9qb59obcpRk6Hh6ddJntmMj0sSTpVjA==" saltValue="MQie4SjxhiGZoZq3iElagw==" spinCount="100000" sheet="1" objects="1" scenarios="1" autoFilter="0"/>
  <mergeCells count="34">
    <mergeCell ref="A52:L52"/>
    <mergeCell ref="A53:M53"/>
    <mergeCell ref="A56:L56"/>
    <mergeCell ref="A58:L58"/>
    <mergeCell ref="A46:L46"/>
    <mergeCell ref="A47:L47"/>
    <mergeCell ref="A48:L48"/>
    <mergeCell ref="A49:M49"/>
    <mergeCell ref="A50:L50"/>
    <mergeCell ref="A51:M51"/>
    <mergeCell ref="A45:L45"/>
    <mergeCell ref="E21:H21"/>
    <mergeCell ref="I21:L21"/>
    <mergeCell ref="A23:A36"/>
    <mergeCell ref="B24:B26"/>
    <mergeCell ref="B27:B31"/>
    <mergeCell ref="B32:B36"/>
    <mergeCell ref="A40:L40"/>
    <mergeCell ref="A41:L41"/>
    <mergeCell ref="A42:L42"/>
    <mergeCell ref="A43:L43"/>
    <mergeCell ref="A44:L44"/>
    <mergeCell ref="M12:X12"/>
    <mergeCell ref="A18:L18"/>
    <mergeCell ref="A8:L8"/>
    <mergeCell ref="A9:L9"/>
    <mergeCell ref="A10:L10"/>
    <mergeCell ref="A11:L11"/>
    <mergeCell ref="A12:L12"/>
    <mergeCell ref="A13:L13"/>
    <mergeCell ref="A14:L14"/>
    <mergeCell ref="A15:L15"/>
    <mergeCell ref="A16:L16"/>
    <mergeCell ref="A17:L17"/>
  </mergeCells>
  <hyperlinks>
    <hyperlink ref="A3" location="Index!A1" display="Index" xr:uid="{00000000-0004-0000-24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00000000-0004-0000-2400-000001000000}"/>
    <hyperlink ref="B54" location="'Freighting goods'!A1" display="Freighting goods" xr:uid="{00000000-0004-0000-2400-000002000000}"/>
    <hyperlink ref="B55" location="'WTT- delivery vehs &amp; freight'!A1" display="WTT- delivery vehs &amp; freight" xr:uid="{00000000-0004-0000-2400-000003000000}"/>
  </hyperlinks>
  <pageMargins left="0.7" right="0.7" top="0.75" bottom="0.75" header="0.3" footer="0.3"/>
  <pageSetup paperSize="9" scale="34" fitToHeight="0"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8168889431442"/>
    <pageSetUpPr fitToPage="1"/>
  </sheetPr>
  <dimension ref="A1:EO265"/>
  <sheetViews>
    <sheetView workbookViewId="0"/>
  </sheetViews>
  <sheetFormatPr baseColWidth="10" defaultColWidth="11.33203125" defaultRowHeight="14.4"/>
  <cols>
    <col min="1" max="1" width="23.44140625" style="167" customWidth="1"/>
    <col min="2" max="2" width="22.6640625" style="167" customWidth="1"/>
    <col min="3" max="3" width="14.44140625" style="167" customWidth="1"/>
    <col min="4" max="4" width="13.6640625" style="167" customWidth="1"/>
    <col min="5" max="5" width="23.6640625" style="167" bestFit="1" customWidth="1"/>
    <col min="6" max="6" width="23.44140625" style="167" bestFit="1" customWidth="1"/>
    <col min="7" max="7" width="23.6640625" style="167" bestFit="1" customWidth="1"/>
    <col min="8" max="8" width="13.6640625" style="167" customWidth="1"/>
    <col min="9" max="9" width="23.6640625" style="167" bestFit="1" customWidth="1"/>
    <col min="10" max="10" width="23.44140625" style="167" bestFit="1" customWidth="1"/>
    <col min="11" max="11" width="23.6640625" style="167" bestFit="1" customWidth="1"/>
    <col min="12" max="12" width="13.6640625" style="167" customWidth="1"/>
    <col min="13" max="13" width="23.6640625" style="167" bestFit="1" customWidth="1"/>
    <col min="14" max="14" width="23.44140625" style="167" bestFit="1" customWidth="1"/>
    <col min="15" max="15" width="23.6640625" style="167" bestFit="1" customWidth="1"/>
    <col min="16" max="16" width="13.6640625" style="167" customWidth="1"/>
    <col min="17" max="17" width="23.6640625" style="167" bestFit="1" customWidth="1"/>
    <col min="18" max="18" width="23.44140625" style="167" bestFit="1" customWidth="1"/>
    <col min="19" max="19" width="23.6640625" style="167" bestFit="1" customWidth="1"/>
    <col min="20" max="20" width="13.6640625" style="167" customWidth="1"/>
    <col min="21" max="21" width="23.6640625" style="167" bestFit="1" customWidth="1"/>
    <col min="22" max="22" width="23.44140625" style="167" bestFit="1" customWidth="1"/>
    <col min="23" max="23" width="23.6640625" style="167" bestFit="1" customWidth="1"/>
    <col min="24" max="24" width="13.5546875" style="167" customWidth="1"/>
    <col min="25" max="25" width="23.6640625" style="167" bestFit="1" customWidth="1"/>
    <col min="26" max="26" width="23.44140625" style="167" bestFit="1" customWidth="1"/>
    <col min="27" max="27" width="23.6640625" style="167" bestFit="1" customWidth="1"/>
    <col min="28" max="28" width="13.5546875" style="168" customWidth="1"/>
    <col min="29" max="29" width="23.6640625" style="168" bestFit="1" customWidth="1"/>
    <col min="30" max="30" width="23.44140625" style="168" bestFit="1" customWidth="1"/>
    <col min="31" max="31" width="23.6640625" style="168" bestFit="1" customWidth="1"/>
    <col min="32" max="32" width="13.5546875" style="168" customWidth="1"/>
    <col min="33" max="33" width="23.6640625" style="168" bestFit="1" customWidth="1"/>
    <col min="34" max="34" width="23.44140625" style="168" bestFit="1" customWidth="1"/>
    <col min="35" max="35" width="23.6640625" style="168" bestFit="1" customWidth="1"/>
    <col min="36" max="36" width="48.5546875" style="168" customWidth="1"/>
    <col min="37" max="16384" width="11.33203125" style="168"/>
  </cols>
  <sheetData>
    <row r="1" spans="1:145" s="164" customFormat="1" ht="10.199999999999999">
      <c r="A1" s="164" t="s">
        <v>1606</v>
      </c>
    </row>
    <row r="2" spans="1:145" ht="21">
      <c r="A2" s="165" t="s">
        <v>1934</v>
      </c>
      <c r="B2" s="165"/>
      <c r="C2" s="165"/>
      <c r="D2" s="165"/>
      <c r="E2" s="165"/>
      <c r="F2" s="165"/>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row>
    <row r="3" spans="1:145">
      <c r="A3" s="169" t="s">
        <v>1608</v>
      </c>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row>
    <row r="4" spans="1:145" s="174" customFormat="1" ht="7.2" thickBot="1"/>
    <row r="5" spans="1:145" ht="28.2" thickTop="1">
      <c r="A5" s="177" t="s">
        <v>1609</v>
      </c>
      <c r="B5" s="178" t="s">
        <v>1934</v>
      </c>
      <c r="C5" s="177" t="s">
        <v>1610</v>
      </c>
      <c r="D5" s="179">
        <v>45818</v>
      </c>
      <c r="E5" s="207" t="s">
        <v>1611</v>
      </c>
      <c r="F5" s="179" t="s">
        <v>1612</v>
      </c>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row>
    <row r="6" spans="1:145" ht="15" thickBot="1">
      <c r="A6" s="182" t="s">
        <v>1613</v>
      </c>
      <c r="B6" s="183" t="s">
        <v>1614</v>
      </c>
      <c r="C6" s="184" t="s">
        <v>1615</v>
      </c>
      <c r="D6" s="231">
        <v>1.1000000000000001</v>
      </c>
      <c r="E6" s="184" t="s">
        <v>1616</v>
      </c>
      <c r="F6" s="209">
        <v>2024</v>
      </c>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row>
    <row r="7" spans="1:145" ht="15.6" thickTop="1" thickBot="1">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row>
    <row r="8" spans="1:145" ht="39" customHeight="1" thickTop="1" thickBot="1">
      <c r="A8" s="665" t="s">
        <v>1935</v>
      </c>
      <c r="B8" s="666"/>
      <c r="C8" s="666"/>
      <c r="D8" s="666"/>
      <c r="E8" s="666"/>
      <c r="F8" s="666"/>
      <c r="G8" s="666"/>
      <c r="H8" s="666"/>
      <c r="I8" s="666"/>
      <c r="J8" s="666"/>
      <c r="K8" s="666"/>
      <c r="L8" s="6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row>
    <row r="9" spans="1:145" ht="15" thickTop="1">
      <c r="A9" s="668"/>
      <c r="B9" s="677"/>
      <c r="C9" s="677"/>
      <c r="D9" s="677"/>
      <c r="E9" s="677"/>
      <c r="F9" s="677"/>
      <c r="G9" s="677"/>
      <c r="H9" s="677"/>
      <c r="I9" s="677"/>
      <c r="J9" s="677"/>
      <c r="K9" s="677"/>
      <c r="L9" s="67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row>
    <row r="10" spans="1:145" ht="15" customHeight="1">
      <c r="A10" s="669" t="s">
        <v>1618</v>
      </c>
      <c r="B10" s="669"/>
      <c r="C10" s="669"/>
      <c r="D10" s="669"/>
      <c r="E10" s="669"/>
      <c r="F10" s="669"/>
      <c r="G10" s="669"/>
      <c r="H10" s="669"/>
      <c r="I10" s="669"/>
      <c r="J10" s="669"/>
      <c r="K10" s="669"/>
      <c r="L10" s="669"/>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row>
    <row r="11" spans="1:145" ht="6.6" customHeight="1">
      <c r="A11" s="259"/>
      <c r="B11" s="259"/>
      <c r="C11" s="259"/>
      <c r="D11" s="259"/>
      <c r="E11" s="259"/>
      <c r="F11" s="259"/>
      <c r="G11" s="259"/>
      <c r="H11" s="259"/>
      <c r="I11" s="259"/>
      <c r="J11" s="259"/>
      <c r="K11" s="259"/>
      <c r="L11" s="259"/>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row>
    <row r="12" spans="1:145" s="167" customFormat="1" ht="45" customHeight="1">
      <c r="A12" s="668" t="s">
        <v>1936</v>
      </c>
      <c r="B12" s="668"/>
      <c r="C12" s="668"/>
      <c r="D12" s="668"/>
      <c r="E12" s="668"/>
      <c r="F12" s="668"/>
      <c r="G12" s="668"/>
      <c r="H12" s="668"/>
      <c r="I12" s="668"/>
      <c r="J12" s="668"/>
      <c r="K12" s="668"/>
      <c r="L12" s="668"/>
    </row>
    <row r="13" spans="1:145" s="167" customFormat="1" ht="45" customHeight="1">
      <c r="A13" s="668" t="s">
        <v>1937</v>
      </c>
      <c r="B13" s="668"/>
      <c r="C13" s="668"/>
      <c r="D13" s="668"/>
      <c r="E13" s="668"/>
      <c r="F13" s="668"/>
      <c r="G13" s="668"/>
      <c r="H13" s="668"/>
      <c r="I13" s="668"/>
      <c r="J13" s="668"/>
      <c r="K13" s="668"/>
      <c r="L13" s="668"/>
    </row>
    <row r="14" spans="1:145" s="194" customFormat="1" ht="47.85" customHeight="1">
      <c r="A14" s="668" t="s">
        <v>1938</v>
      </c>
      <c r="B14" s="668"/>
      <c r="C14" s="668"/>
      <c r="D14" s="668"/>
      <c r="E14" s="668"/>
      <c r="F14" s="668"/>
      <c r="G14" s="668"/>
      <c r="H14" s="668"/>
      <c r="I14" s="668"/>
      <c r="J14" s="668"/>
      <c r="K14" s="668"/>
      <c r="L14" s="668"/>
    </row>
    <row r="15" spans="1:145" s="194" customFormat="1" ht="35.85" customHeight="1">
      <c r="A15" s="668" t="s">
        <v>1939</v>
      </c>
      <c r="B15" s="668"/>
      <c r="C15" s="668"/>
      <c r="D15" s="668"/>
      <c r="E15" s="668"/>
      <c r="F15" s="668"/>
      <c r="G15" s="668"/>
      <c r="H15" s="668"/>
      <c r="I15" s="668"/>
      <c r="J15" s="668"/>
      <c r="K15" s="668"/>
      <c r="L15" s="668"/>
    </row>
    <row r="16" spans="1:145" ht="27.6" customHeight="1">
      <c r="A16" s="713" t="s">
        <v>1940</v>
      </c>
      <c r="B16" s="713"/>
      <c r="C16" s="713"/>
      <c r="D16" s="713"/>
      <c r="E16" s="713"/>
      <c r="F16" s="713"/>
      <c r="G16" s="713"/>
      <c r="H16" s="713"/>
      <c r="I16" s="713"/>
      <c r="J16" s="713"/>
      <c r="K16" s="713"/>
      <c r="L16" s="713"/>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row>
    <row r="17" spans="1:118" s="194" customFormat="1" ht="24.75" customHeight="1">
      <c r="A17" s="668" t="s">
        <v>1941</v>
      </c>
      <c r="B17" s="668"/>
      <c r="C17" s="668"/>
      <c r="D17" s="668"/>
      <c r="E17" s="668"/>
      <c r="F17" s="668"/>
      <c r="G17" s="668"/>
      <c r="H17" s="668"/>
      <c r="I17" s="668"/>
      <c r="J17" s="668"/>
      <c r="K17" s="668"/>
      <c r="L17" s="668"/>
    </row>
    <row r="18" spans="1:118" s="167" customFormat="1" ht="21" customHeight="1">
      <c r="A18" s="669" t="s">
        <v>1942</v>
      </c>
      <c r="B18" s="669"/>
      <c r="C18" s="669"/>
      <c r="D18" s="669"/>
      <c r="E18" s="669"/>
      <c r="F18" s="669"/>
      <c r="G18" s="669"/>
      <c r="H18" s="669"/>
      <c r="I18" s="669"/>
      <c r="J18" s="669"/>
      <c r="K18" s="669"/>
      <c r="L18" s="669"/>
    </row>
    <row r="19" spans="1:118" s="167" customFormat="1">
      <c r="A19" s="668" t="s">
        <v>1943</v>
      </c>
      <c r="B19" s="668"/>
      <c r="C19" s="668"/>
      <c r="D19" s="668"/>
      <c r="E19" s="668"/>
      <c r="F19" s="668"/>
      <c r="G19" s="668"/>
      <c r="H19" s="668"/>
      <c r="I19" s="668"/>
      <c r="J19" s="668"/>
      <c r="K19" s="668"/>
      <c r="L19" s="668"/>
      <c r="N19" s="223"/>
    </row>
    <row r="20" spans="1:118" s="167" customFormat="1" ht="16.5" customHeight="1">
      <c r="A20" s="668" t="s">
        <v>1944</v>
      </c>
      <c r="B20" s="668"/>
      <c r="C20" s="668"/>
      <c r="D20" s="668"/>
      <c r="E20" s="668"/>
      <c r="F20" s="668"/>
      <c r="G20" s="668"/>
      <c r="H20" s="668"/>
      <c r="I20" s="668"/>
      <c r="J20" s="668"/>
      <c r="K20" s="668"/>
      <c r="L20" s="668"/>
    </row>
    <row r="21" spans="1:118" ht="16.5" customHeight="1">
      <c r="A21" s="190"/>
      <c r="B21" s="190"/>
      <c r="C21" s="190"/>
      <c r="D21" s="190"/>
      <c r="E21" s="190"/>
      <c r="F21" s="190"/>
      <c r="G21" s="190"/>
      <c r="H21" s="190"/>
      <c r="I21" s="190"/>
      <c r="J21" s="190"/>
      <c r="K21" s="190"/>
      <c r="L21" s="190"/>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row>
    <row r="22" spans="1:118" s="194" customFormat="1" ht="15" customHeight="1">
      <c r="A22" s="190"/>
      <c r="B22" s="190"/>
      <c r="C22" s="190"/>
      <c r="D22" s="215"/>
      <c r="E22" s="215"/>
      <c r="F22" s="251" t="s">
        <v>1945</v>
      </c>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row>
    <row r="23" spans="1:118" s="194" customFormat="1">
      <c r="D23" s="723" t="s">
        <v>607</v>
      </c>
      <c r="E23" s="723"/>
      <c r="F23" s="723"/>
      <c r="G23" s="723"/>
      <c r="H23" s="723" t="s">
        <v>1946</v>
      </c>
      <c r="I23" s="723"/>
      <c r="J23" s="723"/>
      <c r="K23" s="723"/>
      <c r="L23" s="723" t="s">
        <v>1947</v>
      </c>
      <c r="M23" s="723"/>
      <c r="N23" s="723"/>
      <c r="O23" s="723"/>
      <c r="P23" s="724" t="s">
        <v>1700</v>
      </c>
      <c r="Q23" s="724"/>
      <c r="R23" s="724"/>
      <c r="S23" s="724"/>
      <c r="T23" s="723" t="s">
        <v>1702</v>
      </c>
      <c r="U23" s="723"/>
      <c r="V23" s="723"/>
      <c r="W23" s="723"/>
      <c r="X23" s="723" t="s">
        <v>1948</v>
      </c>
      <c r="Y23" s="723"/>
      <c r="Z23" s="723"/>
      <c r="AA23" s="723"/>
      <c r="AB23" s="723" t="s">
        <v>1949</v>
      </c>
      <c r="AC23" s="723"/>
      <c r="AD23" s="723"/>
      <c r="AE23" s="723"/>
      <c r="AF23" s="723" t="s">
        <v>1950</v>
      </c>
      <c r="AG23" s="723"/>
      <c r="AH23" s="723"/>
      <c r="AI23" s="723"/>
    </row>
    <row r="24" spans="1:118" s="194" customFormat="1" ht="15.6">
      <c r="A24" s="196" t="s">
        <v>1629</v>
      </c>
      <c r="B24" s="196" t="s">
        <v>1771</v>
      </c>
      <c r="C24" s="196" t="s">
        <v>1631</v>
      </c>
      <c r="D24" s="198" t="s">
        <v>1632</v>
      </c>
      <c r="E24" s="198" t="s">
        <v>1903</v>
      </c>
      <c r="F24" s="198" t="s">
        <v>1904</v>
      </c>
      <c r="G24" s="198" t="s">
        <v>1905</v>
      </c>
      <c r="H24" s="198" t="s">
        <v>1632</v>
      </c>
      <c r="I24" s="198" t="s">
        <v>1903</v>
      </c>
      <c r="J24" s="198" t="s">
        <v>1904</v>
      </c>
      <c r="K24" s="198" t="s">
        <v>1905</v>
      </c>
      <c r="L24" s="198" t="s">
        <v>1632</v>
      </c>
      <c r="M24" s="198" t="s">
        <v>1903</v>
      </c>
      <c r="N24" s="198" t="s">
        <v>1904</v>
      </c>
      <c r="O24" s="198" t="s">
        <v>1905</v>
      </c>
      <c r="P24" s="252" t="s">
        <v>1632</v>
      </c>
      <c r="Q24" s="252" t="s">
        <v>1903</v>
      </c>
      <c r="R24" s="252" t="s">
        <v>1904</v>
      </c>
      <c r="S24" s="252" t="s">
        <v>1905</v>
      </c>
      <c r="T24" s="198" t="s">
        <v>1632</v>
      </c>
      <c r="U24" s="198" t="s">
        <v>1903</v>
      </c>
      <c r="V24" s="198" t="s">
        <v>1904</v>
      </c>
      <c r="W24" s="198" t="s">
        <v>1905</v>
      </c>
      <c r="X24" s="198" t="s">
        <v>1632</v>
      </c>
      <c r="Y24" s="198" t="s">
        <v>1903</v>
      </c>
      <c r="Z24" s="198" t="s">
        <v>1904</v>
      </c>
      <c r="AA24" s="198" t="s">
        <v>1905</v>
      </c>
      <c r="AB24" s="198" t="s">
        <v>1632</v>
      </c>
      <c r="AC24" s="198" t="s">
        <v>1903</v>
      </c>
      <c r="AD24" s="198" t="s">
        <v>1904</v>
      </c>
      <c r="AE24" s="198" t="s">
        <v>1905</v>
      </c>
      <c r="AF24" s="198" t="s">
        <v>1632</v>
      </c>
      <c r="AG24" s="198" t="s">
        <v>1903</v>
      </c>
      <c r="AH24" s="198" t="s">
        <v>1904</v>
      </c>
      <c r="AI24" s="198" t="s">
        <v>1905</v>
      </c>
    </row>
    <row r="25" spans="1:118" s="194" customFormat="1">
      <c r="A25" s="664" t="s">
        <v>1951</v>
      </c>
      <c r="B25" s="664" t="s">
        <v>1952</v>
      </c>
      <c r="C25" s="198" t="s">
        <v>1953</v>
      </c>
      <c r="D25" s="227">
        <v>0.10764</v>
      </c>
      <c r="E25" s="227">
        <v>0.10596999999999999</v>
      </c>
      <c r="F25" s="253">
        <v>4.6368000000000002E-6</v>
      </c>
      <c r="G25" s="227">
        <v>1.67E-3</v>
      </c>
      <c r="H25" s="227">
        <v>0.13086999999999999</v>
      </c>
      <c r="I25" s="227">
        <v>0.13019</v>
      </c>
      <c r="J25" s="227">
        <v>3.6000000000000002E-4</v>
      </c>
      <c r="K25" s="227">
        <v>3.2000000000000003E-4</v>
      </c>
      <c r="L25" s="227"/>
      <c r="M25" s="227"/>
      <c r="N25" s="227"/>
      <c r="O25" s="227"/>
      <c r="P25" s="227"/>
      <c r="Q25" s="227"/>
      <c r="R25" s="227"/>
      <c r="S25" s="227"/>
      <c r="T25" s="227"/>
      <c r="U25" s="227"/>
      <c r="V25" s="227"/>
      <c r="W25" s="227"/>
      <c r="X25" s="227">
        <v>0.13073000000000001</v>
      </c>
      <c r="Y25" s="227">
        <v>0.13003999999999999</v>
      </c>
      <c r="Z25" s="227">
        <v>3.5E-4</v>
      </c>
      <c r="AA25" s="227">
        <v>3.4000000000000002E-4</v>
      </c>
      <c r="AB25" s="227"/>
      <c r="AC25" s="227"/>
      <c r="AD25" s="227"/>
      <c r="AE25" s="227"/>
      <c r="AF25" s="227">
        <v>3.85E-2</v>
      </c>
      <c r="AG25" s="227">
        <v>3.807E-2</v>
      </c>
      <c r="AH25" s="227">
        <v>1.8000000000000001E-4</v>
      </c>
      <c r="AI25" s="227">
        <v>2.5000000000000001E-4</v>
      </c>
      <c r="AJ25" s="215"/>
    </row>
    <row r="26" spans="1:118" s="194" customFormat="1">
      <c r="A26" s="664"/>
      <c r="B26" s="664"/>
      <c r="C26" s="198" t="s">
        <v>1954</v>
      </c>
      <c r="D26" s="227">
        <v>0.17324999999999999</v>
      </c>
      <c r="E26" s="227">
        <v>0.17055000000000001</v>
      </c>
      <c r="F26" s="227">
        <v>1.0000000000000001E-5</v>
      </c>
      <c r="G26" s="227">
        <v>2.6900000000000001E-3</v>
      </c>
      <c r="H26" s="227">
        <v>0.21060999999999999</v>
      </c>
      <c r="I26" s="227">
        <v>0.20952000000000001</v>
      </c>
      <c r="J26" s="227">
        <v>5.6999999999999998E-4</v>
      </c>
      <c r="K26" s="227">
        <v>5.1999999999999995E-4</v>
      </c>
      <c r="L26" s="227"/>
      <c r="M26" s="227"/>
      <c r="N26" s="227"/>
      <c r="O26" s="227"/>
      <c r="P26" s="227"/>
      <c r="Q26" s="227"/>
      <c r="R26" s="227"/>
      <c r="S26" s="227"/>
      <c r="T26" s="227"/>
      <c r="U26" s="227"/>
      <c r="V26" s="227"/>
      <c r="W26" s="227"/>
      <c r="X26" s="227">
        <v>0.21038000000000001</v>
      </c>
      <c r="Y26" s="227">
        <v>0.20927999999999999</v>
      </c>
      <c r="Z26" s="227">
        <v>5.5999999999999995E-4</v>
      </c>
      <c r="AA26" s="227">
        <v>5.4000000000000001E-4</v>
      </c>
      <c r="AB26" s="227"/>
      <c r="AC26" s="227"/>
      <c r="AD26" s="227"/>
      <c r="AE26" s="227"/>
      <c r="AF26" s="227">
        <v>6.1960000000000001E-2</v>
      </c>
      <c r="AG26" s="227">
        <v>6.1260000000000002E-2</v>
      </c>
      <c r="AH26" s="227">
        <v>2.9E-4</v>
      </c>
      <c r="AI26" s="227">
        <v>4.0999999999999999E-4</v>
      </c>
      <c r="AJ26" s="215"/>
    </row>
    <row r="27" spans="1:118" s="194" customFormat="1">
      <c r="A27" s="664"/>
      <c r="B27" s="664" t="s">
        <v>1955</v>
      </c>
      <c r="C27" s="198" t="s">
        <v>1953</v>
      </c>
      <c r="D27" s="227">
        <v>0.13178000000000001</v>
      </c>
      <c r="E27" s="227">
        <v>0.13011</v>
      </c>
      <c r="F27" s="253">
        <v>4.6368000000000002E-6</v>
      </c>
      <c r="G27" s="227">
        <v>1.67E-3</v>
      </c>
      <c r="H27" s="227">
        <v>0.14387</v>
      </c>
      <c r="I27" s="227">
        <v>0.14319000000000001</v>
      </c>
      <c r="J27" s="227">
        <v>3.6000000000000002E-4</v>
      </c>
      <c r="K27" s="227">
        <v>3.2000000000000003E-4</v>
      </c>
      <c r="L27" s="227"/>
      <c r="M27" s="227"/>
      <c r="N27" s="227"/>
      <c r="O27" s="227"/>
      <c r="P27" s="227"/>
      <c r="Q27" s="227"/>
      <c r="R27" s="227"/>
      <c r="S27" s="227"/>
      <c r="T27" s="227"/>
      <c r="U27" s="227"/>
      <c r="V27" s="227"/>
      <c r="W27" s="227"/>
      <c r="X27" s="227">
        <v>0.14255999999999999</v>
      </c>
      <c r="Y27" s="227">
        <v>0.14174</v>
      </c>
      <c r="Z27" s="227">
        <v>2.9999999999999997E-4</v>
      </c>
      <c r="AA27" s="227">
        <v>5.1999999999999995E-4</v>
      </c>
      <c r="AB27" s="227">
        <v>6.0780000000000001E-2</v>
      </c>
      <c r="AC27" s="227">
        <v>6.0310000000000002E-2</v>
      </c>
      <c r="AD27" s="227">
        <v>2.2000000000000001E-4</v>
      </c>
      <c r="AE27" s="227">
        <v>2.5000000000000001E-4</v>
      </c>
      <c r="AF27" s="227">
        <v>4.3900000000000002E-2</v>
      </c>
      <c r="AG27" s="227">
        <v>4.3439999999999999E-2</v>
      </c>
      <c r="AH27" s="227">
        <v>1.9000000000000001E-4</v>
      </c>
      <c r="AI27" s="227">
        <v>2.7E-4</v>
      </c>
      <c r="AJ27" s="215"/>
    </row>
    <row r="28" spans="1:118" s="194" customFormat="1">
      <c r="A28" s="664"/>
      <c r="B28" s="664"/>
      <c r="C28" s="198" t="s">
        <v>1954</v>
      </c>
      <c r="D28" s="227">
        <v>0.21209</v>
      </c>
      <c r="E28" s="227">
        <v>0.20938999999999999</v>
      </c>
      <c r="F28" s="227">
        <v>1.0000000000000001E-5</v>
      </c>
      <c r="G28" s="227">
        <v>2.6900000000000001E-3</v>
      </c>
      <c r="H28" s="227">
        <v>0.23153000000000001</v>
      </c>
      <c r="I28" s="227">
        <v>0.23044000000000001</v>
      </c>
      <c r="J28" s="227">
        <v>5.6999999999999998E-4</v>
      </c>
      <c r="K28" s="227">
        <v>5.1999999999999995E-4</v>
      </c>
      <c r="L28" s="227"/>
      <c r="M28" s="227"/>
      <c r="N28" s="227"/>
      <c r="O28" s="227"/>
      <c r="P28" s="227"/>
      <c r="Q28" s="227"/>
      <c r="R28" s="227"/>
      <c r="S28" s="227"/>
      <c r="T28" s="227"/>
      <c r="U28" s="227"/>
      <c r="V28" s="227"/>
      <c r="W28" s="227"/>
      <c r="X28" s="227">
        <v>0.22942000000000001</v>
      </c>
      <c r="Y28" s="227">
        <v>0.2281</v>
      </c>
      <c r="Z28" s="227">
        <v>4.8000000000000001E-4</v>
      </c>
      <c r="AA28" s="227">
        <v>8.4000000000000003E-4</v>
      </c>
      <c r="AB28" s="227">
        <v>9.7820000000000004E-2</v>
      </c>
      <c r="AC28" s="227">
        <v>9.7059999999999994E-2</v>
      </c>
      <c r="AD28" s="227">
        <v>3.6000000000000002E-4</v>
      </c>
      <c r="AE28" s="227">
        <v>4.0000000000000002E-4</v>
      </c>
      <c r="AF28" s="227">
        <v>7.0650000000000004E-2</v>
      </c>
      <c r="AG28" s="227">
        <v>6.991E-2</v>
      </c>
      <c r="AH28" s="227">
        <v>3.1E-4</v>
      </c>
      <c r="AI28" s="227">
        <v>4.2999999999999999E-4</v>
      </c>
      <c r="AJ28" s="215"/>
    </row>
    <row r="29" spans="1:118" s="194" customFormat="1">
      <c r="A29" s="664"/>
      <c r="B29" s="664" t="s">
        <v>1956</v>
      </c>
      <c r="C29" s="198" t="s">
        <v>1953</v>
      </c>
      <c r="D29" s="227">
        <v>0.14288000000000001</v>
      </c>
      <c r="E29" s="227">
        <v>0.14121</v>
      </c>
      <c r="F29" s="253">
        <v>4.6368000000000002E-6</v>
      </c>
      <c r="G29" s="227">
        <v>1.67E-3</v>
      </c>
      <c r="H29" s="227">
        <v>0.16392000000000001</v>
      </c>
      <c r="I29" s="227">
        <v>0.16324</v>
      </c>
      <c r="J29" s="227">
        <v>3.6000000000000002E-4</v>
      </c>
      <c r="K29" s="227">
        <v>3.2000000000000003E-4</v>
      </c>
      <c r="L29" s="227"/>
      <c r="M29" s="227"/>
      <c r="N29" s="227"/>
      <c r="O29" s="227"/>
      <c r="P29" s="227"/>
      <c r="Q29" s="227"/>
      <c r="R29" s="227"/>
      <c r="S29" s="227"/>
      <c r="T29" s="227"/>
      <c r="U29" s="227"/>
      <c r="V29" s="227"/>
      <c r="W29" s="227"/>
      <c r="X29" s="227">
        <v>0.15504000000000001</v>
      </c>
      <c r="Y29" s="227">
        <v>0.15386</v>
      </c>
      <c r="Z29" s="227">
        <v>1.8000000000000001E-4</v>
      </c>
      <c r="AA29" s="227">
        <v>1E-3</v>
      </c>
      <c r="AB29" s="227">
        <v>8.9139999999999997E-2</v>
      </c>
      <c r="AC29" s="227">
        <v>8.8499999999999995E-2</v>
      </c>
      <c r="AD29" s="227">
        <v>3.4000000000000002E-4</v>
      </c>
      <c r="AE29" s="227">
        <v>2.9999999999999997E-4</v>
      </c>
      <c r="AF29" s="227">
        <v>4.6149999999999997E-2</v>
      </c>
      <c r="AG29" s="227">
        <v>4.5629999999999997E-2</v>
      </c>
      <c r="AH29" s="227">
        <v>2.2000000000000001E-4</v>
      </c>
      <c r="AI29" s="227">
        <v>2.9999999999999997E-4</v>
      </c>
      <c r="AJ29" s="215"/>
    </row>
    <row r="30" spans="1:118" s="194" customFormat="1">
      <c r="A30" s="664"/>
      <c r="B30" s="664"/>
      <c r="C30" s="198" t="s">
        <v>1954</v>
      </c>
      <c r="D30" s="227">
        <v>0.22996</v>
      </c>
      <c r="E30" s="227">
        <v>0.22725999999999999</v>
      </c>
      <c r="F30" s="227">
        <v>1.0000000000000001E-5</v>
      </c>
      <c r="G30" s="227">
        <v>2.6900000000000001E-3</v>
      </c>
      <c r="H30" s="227">
        <v>0.26379999999999998</v>
      </c>
      <c r="I30" s="227">
        <v>0.26271</v>
      </c>
      <c r="J30" s="227">
        <v>5.6999999999999998E-4</v>
      </c>
      <c r="K30" s="227">
        <v>5.1999999999999995E-4</v>
      </c>
      <c r="L30" s="227"/>
      <c r="M30" s="227"/>
      <c r="N30" s="227"/>
      <c r="O30" s="227"/>
      <c r="P30" s="227"/>
      <c r="Q30" s="227"/>
      <c r="R30" s="227"/>
      <c r="S30" s="227"/>
      <c r="T30" s="227"/>
      <c r="U30" s="227"/>
      <c r="V30" s="227"/>
      <c r="W30" s="227"/>
      <c r="X30" s="227">
        <v>0.24951000000000001</v>
      </c>
      <c r="Y30" s="227">
        <v>0.24762000000000001</v>
      </c>
      <c r="Z30" s="227">
        <v>2.9E-4</v>
      </c>
      <c r="AA30" s="227">
        <v>1.6000000000000001E-3</v>
      </c>
      <c r="AB30" s="227">
        <v>0.14346</v>
      </c>
      <c r="AC30" s="227">
        <v>0.14243</v>
      </c>
      <c r="AD30" s="227">
        <v>5.4000000000000001E-4</v>
      </c>
      <c r="AE30" s="227">
        <v>4.8999999999999998E-4</v>
      </c>
      <c r="AF30" s="227">
        <v>7.4279999999999999E-2</v>
      </c>
      <c r="AG30" s="227">
        <v>7.3440000000000005E-2</v>
      </c>
      <c r="AH30" s="227">
        <v>3.6000000000000002E-4</v>
      </c>
      <c r="AI30" s="227">
        <v>4.8000000000000001E-4</v>
      </c>
      <c r="AJ30" s="215"/>
    </row>
    <row r="31" spans="1:118" s="194" customFormat="1">
      <c r="A31" s="664"/>
      <c r="B31" s="664" t="s">
        <v>1957</v>
      </c>
      <c r="C31" s="198" t="s">
        <v>1953</v>
      </c>
      <c r="D31" s="227">
        <v>0.16048000000000001</v>
      </c>
      <c r="E31" s="227">
        <v>0.15881000000000001</v>
      </c>
      <c r="F31" s="253">
        <v>4.6368000000000002E-6</v>
      </c>
      <c r="G31" s="227">
        <v>1.67E-3</v>
      </c>
      <c r="H31" s="227">
        <v>0.18953</v>
      </c>
      <c r="I31" s="227">
        <v>0.18884999999999999</v>
      </c>
      <c r="J31" s="227">
        <v>3.6000000000000002E-4</v>
      </c>
      <c r="K31" s="227">
        <v>3.2000000000000003E-4</v>
      </c>
      <c r="L31" s="227"/>
      <c r="M31" s="227"/>
      <c r="N31" s="227"/>
      <c r="O31" s="227"/>
      <c r="P31" s="227"/>
      <c r="Q31" s="227"/>
      <c r="R31" s="227"/>
      <c r="S31" s="227"/>
      <c r="T31" s="227"/>
      <c r="U31" s="227"/>
      <c r="V31" s="227"/>
      <c r="W31" s="227"/>
      <c r="X31" s="227">
        <v>0.16763</v>
      </c>
      <c r="Y31" s="227">
        <v>0.16616</v>
      </c>
      <c r="Z31" s="227">
        <v>8.0000000000000007E-5</v>
      </c>
      <c r="AA31" s="227">
        <v>1.39E-3</v>
      </c>
      <c r="AB31" s="227">
        <v>9.7059999999999994E-2</v>
      </c>
      <c r="AC31" s="227">
        <v>9.6379999999999993E-2</v>
      </c>
      <c r="AD31" s="227">
        <v>3.5E-4</v>
      </c>
      <c r="AE31" s="227">
        <v>3.3E-4</v>
      </c>
      <c r="AF31" s="227">
        <v>4.7070000000000001E-2</v>
      </c>
      <c r="AG31" s="227">
        <v>4.6679999999999999E-2</v>
      </c>
      <c r="AH31" s="227">
        <v>1.7000000000000001E-4</v>
      </c>
      <c r="AI31" s="227">
        <v>2.2000000000000001E-4</v>
      </c>
      <c r="AJ31" s="215"/>
    </row>
    <row r="32" spans="1:118" s="194" customFormat="1">
      <c r="A32" s="664"/>
      <c r="B32" s="664"/>
      <c r="C32" s="198" t="s">
        <v>1954</v>
      </c>
      <c r="D32" s="227">
        <v>0.25827</v>
      </c>
      <c r="E32" s="227">
        <v>0.25557000000000002</v>
      </c>
      <c r="F32" s="227">
        <v>1.0000000000000001E-5</v>
      </c>
      <c r="G32" s="227">
        <v>2.6900000000000001E-3</v>
      </c>
      <c r="H32" s="227">
        <v>0.30501</v>
      </c>
      <c r="I32" s="227">
        <v>0.30392000000000002</v>
      </c>
      <c r="J32" s="227">
        <v>5.6999999999999998E-4</v>
      </c>
      <c r="K32" s="227">
        <v>5.1999999999999995E-4</v>
      </c>
      <c r="L32" s="227"/>
      <c r="M32" s="227"/>
      <c r="N32" s="227"/>
      <c r="O32" s="227"/>
      <c r="P32" s="227"/>
      <c r="Q32" s="227"/>
      <c r="R32" s="227"/>
      <c r="S32" s="227"/>
      <c r="T32" s="227"/>
      <c r="U32" s="227"/>
      <c r="V32" s="227"/>
      <c r="W32" s="227"/>
      <c r="X32" s="227">
        <v>0.26974999999999999</v>
      </c>
      <c r="Y32" s="227">
        <v>0.26740999999999998</v>
      </c>
      <c r="Z32" s="227">
        <v>1.2E-4</v>
      </c>
      <c r="AA32" s="227">
        <v>2.2200000000000002E-3</v>
      </c>
      <c r="AB32" s="227">
        <v>0.15620000000000001</v>
      </c>
      <c r="AC32" s="227">
        <v>0.15511</v>
      </c>
      <c r="AD32" s="227">
        <v>5.5999999999999995E-4</v>
      </c>
      <c r="AE32" s="227">
        <v>5.2999999999999998E-4</v>
      </c>
      <c r="AF32" s="227">
        <v>7.5740000000000002E-2</v>
      </c>
      <c r="AG32" s="227">
        <v>7.5120000000000006E-2</v>
      </c>
      <c r="AH32" s="227">
        <v>2.5999999999999998E-4</v>
      </c>
      <c r="AI32" s="227">
        <v>3.6000000000000002E-4</v>
      </c>
      <c r="AJ32" s="215"/>
    </row>
    <row r="33" spans="1:36" s="194" customFormat="1">
      <c r="A33" s="664"/>
      <c r="B33" s="664" t="s">
        <v>1958</v>
      </c>
      <c r="C33" s="198" t="s">
        <v>1953</v>
      </c>
      <c r="D33" s="227">
        <v>0.17000999999999999</v>
      </c>
      <c r="E33" s="227">
        <v>0.16833999999999999</v>
      </c>
      <c r="F33" s="253">
        <v>4.6368000000000002E-6</v>
      </c>
      <c r="G33" s="227">
        <v>1.67E-3</v>
      </c>
      <c r="H33" s="227">
        <v>0.20816999999999999</v>
      </c>
      <c r="I33" s="227">
        <v>0.20749000000000001</v>
      </c>
      <c r="J33" s="227">
        <v>3.6000000000000002E-4</v>
      </c>
      <c r="K33" s="227">
        <v>3.2000000000000003E-4</v>
      </c>
      <c r="L33" s="227"/>
      <c r="M33" s="227"/>
      <c r="N33" s="227"/>
      <c r="O33" s="227"/>
      <c r="P33" s="227"/>
      <c r="Q33" s="227"/>
      <c r="R33" s="227"/>
      <c r="S33" s="227"/>
      <c r="T33" s="227"/>
      <c r="U33" s="227"/>
      <c r="V33" s="227"/>
      <c r="W33" s="227"/>
      <c r="X33" s="227">
        <v>0.17929</v>
      </c>
      <c r="Y33" s="227">
        <v>0.17785000000000001</v>
      </c>
      <c r="Z33" s="227">
        <v>9.0000000000000006E-5</v>
      </c>
      <c r="AA33" s="227">
        <v>1.3500000000000001E-3</v>
      </c>
      <c r="AB33" s="227">
        <v>9.6159999999999995E-2</v>
      </c>
      <c r="AC33" s="227">
        <v>9.5449999999999993E-2</v>
      </c>
      <c r="AD33" s="227">
        <v>3.5E-4</v>
      </c>
      <c r="AE33" s="227">
        <v>3.6000000000000002E-4</v>
      </c>
      <c r="AF33" s="227">
        <v>4.2709999999999998E-2</v>
      </c>
      <c r="AG33" s="227">
        <v>4.2209999999999998E-2</v>
      </c>
      <c r="AH33" s="227">
        <v>2.1000000000000001E-4</v>
      </c>
      <c r="AI33" s="227">
        <v>2.9E-4</v>
      </c>
      <c r="AJ33" s="215"/>
    </row>
    <row r="34" spans="1:36" s="194" customFormat="1">
      <c r="A34" s="664"/>
      <c r="B34" s="664"/>
      <c r="C34" s="198" t="s">
        <v>1954</v>
      </c>
      <c r="D34" s="227">
        <v>0.27361999999999997</v>
      </c>
      <c r="E34" s="227">
        <v>0.27091999999999999</v>
      </c>
      <c r="F34" s="227">
        <v>1.0000000000000001E-5</v>
      </c>
      <c r="G34" s="227">
        <v>2.6900000000000001E-3</v>
      </c>
      <c r="H34" s="227">
        <v>0.33500999999999997</v>
      </c>
      <c r="I34" s="227">
        <v>0.33391999999999999</v>
      </c>
      <c r="J34" s="227">
        <v>5.6999999999999998E-4</v>
      </c>
      <c r="K34" s="227">
        <v>5.1999999999999995E-4</v>
      </c>
      <c r="L34" s="227"/>
      <c r="M34" s="227"/>
      <c r="N34" s="227"/>
      <c r="O34" s="227"/>
      <c r="P34" s="227"/>
      <c r="Q34" s="227"/>
      <c r="R34" s="227"/>
      <c r="S34" s="227"/>
      <c r="T34" s="227"/>
      <c r="U34" s="227"/>
      <c r="V34" s="227"/>
      <c r="W34" s="227"/>
      <c r="X34" s="227">
        <v>0.28854999999999997</v>
      </c>
      <c r="Y34" s="227">
        <v>0.28621999999999997</v>
      </c>
      <c r="Z34" s="227">
        <v>1.4999999999999999E-4</v>
      </c>
      <c r="AA34" s="227">
        <v>2.1800000000000001E-3</v>
      </c>
      <c r="AB34" s="227">
        <v>0.15475</v>
      </c>
      <c r="AC34" s="227">
        <v>0.15361</v>
      </c>
      <c r="AD34" s="227">
        <v>5.5000000000000003E-4</v>
      </c>
      <c r="AE34" s="227">
        <v>5.9000000000000003E-4</v>
      </c>
      <c r="AF34" s="227">
        <v>6.8739999999999996E-2</v>
      </c>
      <c r="AG34" s="227">
        <v>6.7919999999999994E-2</v>
      </c>
      <c r="AH34" s="227">
        <v>3.5E-4</v>
      </c>
      <c r="AI34" s="227">
        <v>4.6999999999999999E-4</v>
      </c>
      <c r="AJ34" s="215"/>
    </row>
    <row r="35" spans="1:36" s="194" customFormat="1">
      <c r="A35" s="664"/>
      <c r="B35" s="664" t="s">
        <v>1959</v>
      </c>
      <c r="C35" s="198" t="s">
        <v>1953</v>
      </c>
      <c r="D35" s="227">
        <v>0.20695</v>
      </c>
      <c r="E35" s="227">
        <v>0.20527999999999999</v>
      </c>
      <c r="F35" s="253">
        <v>4.6368000000000002E-6</v>
      </c>
      <c r="G35" s="227">
        <v>1.67E-3</v>
      </c>
      <c r="H35" s="227">
        <v>0.31949</v>
      </c>
      <c r="I35" s="227">
        <v>0.31880999999999998</v>
      </c>
      <c r="J35" s="227">
        <v>3.6000000000000002E-4</v>
      </c>
      <c r="K35" s="227">
        <v>3.2000000000000003E-4</v>
      </c>
      <c r="L35" s="227"/>
      <c r="M35" s="227"/>
      <c r="N35" s="227"/>
      <c r="O35" s="227"/>
      <c r="P35" s="227"/>
      <c r="Q35" s="227"/>
      <c r="R35" s="227"/>
      <c r="S35" s="227"/>
      <c r="T35" s="227"/>
      <c r="U35" s="227"/>
      <c r="V35" s="227"/>
      <c r="W35" s="227"/>
      <c r="X35" s="227">
        <v>0.25824999999999998</v>
      </c>
      <c r="Y35" s="227">
        <v>0.25705</v>
      </c>
      <c r="Z35" s="227">
        <v>1.7000000000000001E-4</v>
      </c>
      <c r="AA35" s="227">
        <v>1.0300000000000001E-3</v>
      </c>
      <c r="AB35" s="227">
        <v>0.13245000000000001</v>
      </c>
      <c r="AC35" s="227">
        <v>0.13161</v>
      </c>
      <c r="AD35" s="227">
        <v>4.4999999999999999E-4</v>
      </c>
      <c r="AE35" s="227">
        <v>3.8999999999999999E-4</v>
      </c>
      <c r="AF35" s="227">
        <v>5.7489999999999999E-2</v>
      </c>
      <c r="AG35" s="227">
        <v>5.6890000000000003E-2</v>
      </c>
      <c r="AH35" s="227">
        <v>2.5000000000000001E-4</v>
      </c>
      <c r="AI35" s="227">
        <v>3.5E-4</v>
      </c>
      <c r="AJ35" s="215"/>
    </row>
    <row r="36" spans="1:36" s="194" customFormat="1">
      <c r="A36" s="664"/>
      <c r="B36" s="664"/>
      <c r="C36" s="198" t="s">
        <v>1954</v>
      </c>
      <c r="D36" s="227">
        <v>0.33306000000000002</v>
      </c>
      <c r="E36" s="227">
        <v>0.33035999999999999</v>
      </c>
      <c r="F36" s="227">
        <v>1.0000000000000001E-5</v>
      </c>
      <c r="G36" s="227">
        <v>2.6900000000000001E-3</v>
      </c>
      <c r="H36" s="227">
        <v>0.51417000000000002</v>
      </c>
      <c r="I36" s="227">
        <v>0.51307999999999998</v>
      </c>
      <c r="J36" s="227">
        <v>5.6999999999999998E-4</v>
      </c>
      <c r="K36" s="227">
        <v>5.1999999999999995E-4</v>
      </c>
      <c r="L36" s="227"/>
      <c r="M36" s="227"/>
      <c r="N36" s="227"/>
      <c r="O36" s="227"/>
      <c r="P36" s="227"/>
      <c r="Q36" s="227"/>
      <c r="R36" s="227"/>
      <c r="S36" s="227"/>
      <c r="T36" s="227"/>
      <c r="U36" s="227"/>
      <c r="V36" s="227"/>
      <c r="W36" s="227"/>
      <c r="X36" s="227">
        <v>0.41561999999999999</v>
      </c>
      <c r="Y36" s="227">
        <v>0.41367999999999999</v>
      </c>
      <c r="Z36" s="227">
        <v>2.7999999999999998E-4</v>
      </c>
      <c r="AA36" s="227">
        <v>1.66E-3</v>
      </c>
      <c r="AB36" s="227">
        <v>0.21315000000000001</v>
      </c>
      <c r="AC36" s="227">
        <v>0.21179999999999999</v>
      </c>
      <c r="AD36" s="227">
        <v>7.2000000000000005E-4</v>
      </c>
      <c r="AE36" s="227">
        <v>6.3000000000000003E-4</v>
      </c>
      <c r="AF36" s="227">
        <v>9.2509999999999995E-2</v>
      </c>
      <c r="AG36" s="227">
        <v>9.1560000000000002E-2</v>
      </c>
      <c r="AH36" s="227">
        <v>4.0000000000000002E-4</v>
      </c>
      <c r="AI36" s="227">
        <v>5.5000000000000003E-4</v>
      </c>
      <c r="AJ36" s="215"/>
    </row>
    <row r="37" spans="1:36" s="194" customFormat="1">
      <c r="A37" s="664"/>
      <c r="B37" s="664" t="s">
        <v>1960</v>
      </c>
      <c r="C37" s="198" t="s">
        <v>1953</v>
      </c>
      <c r="D37" s="227">
        <v>0.17016000000000001</v>
      </c>
      <c r="E37" s="227">
        <v>0.16849</v>
      </c>
      <c r="F37" s="253">
        <v>4.6368000000000002E-6</v>
      </c>
      <c r="G37" s="227">
        <v>1.67E-3</v>
      </c>
      <c r="H37" s="227">
        <v>0.23535</v>
      </c>
      <c r="I37" s="227">
        <v>0.23466999999999999</v>
      </c>
      <c r="J37" s="227">
        <v>3.6000000000000002E-4</v>
      </c>
      <c r="K37" s="227">
        <v>3.2000000000000003E-4</v>
      </c>
      <c r="L37" s="227"/>
      <c r="M37" s="227"/>
      <c r="N37" s="227"/>
      <c r="O37" s="227"/>
      <c r="P37" s="227"/>
      <c r="Q37" s="227"/>
      <c r="R37" s="227"/>
      <c r="S37" s="227"/>
      <c r="T37" s="227"/>
      <c r="U37" s="227"/>
      <c r="V37" s="227"/>
      <c r="W37" s="227"/>
      <c r="X37" s="227">
        <v>0.22519</v>
      </c>
      <c r="Y37" s="227">
        <v>0.22436</v>
      </c>
      <c r="Z37" s="227">
        <v>2.9999999999999997E-4</v>
      </c>
      <c r="AA37" s="227">
        <v>5.2999999999999998E-4</v>
      </c>
      <c r="AB37" s="227">
        <v>0.13116</v>
      </c>
      <c r="AC37" s="227">
        <v>0.13048999999999999</v>
      </c>
      <c r="AD37" s="227">
        <v>3.6000000000000002E-4</v>
      </c>
      <c r="AE37" s="227">
        <v>3.1E-4</v>
      </c>
      <c r="AF37" s="227">
        <v>7.3529999999999998E-2</v>
      </c>
      <c r="AG37" s="227">
        <v>7.2789999999999994E-2</v>
      </c>
      <c r="AH37" s="227">
        <v>3.1E-4</v>
      </c>
      <c r="AI37" s="227">
        <v>4.2999999999999999E-4</v>
      </c>
      <c r="AJ37" s="215"/>
    </row>
    <row r="38" spans="1:36" s="194" customFormat="1">
      <c r="A38" s="664"/>
      <c r="B38" s="664"/>
      <c r="C38" s="198" t="s">
        <v>1954</v>
      </c>
      <c r="D38" s="227">
        <v>0.27387</v>
      </c>
      <c r="E38" s="227">
        <v>0.27117000000000002</v>
      </c>
      <c r="F38" s="227">
        <v>1.0000000000000001E-5</v>
      </c>
      <c r="G38" s="227">
        <v>2.6900000000000001E-3</v>
      </c>
      <c r="H38" s="227">
        <v>0.37874999999999998</v>
      </c>
      <c r="I38" s="227">
        <v>0.37766</v>
      </c>
      <c r="J38" s="227">
        <v>5.6999999999999998E-4</v>
      </c>
      <c r="K38" s="227">
        <v>5.1999999999999995E-4</v>
      </c>
      <c r="L38" s="227"/>
      <c r="M38" s="227"/>
      <c r="N38" s="227"/>
      <c r="O38" s="227"/>
      <c r="P38" s="227"/>
      <c r="Q38" s="227"/>
      <c r="R38" s="227"/>
      <c r="S38" s="227"/>
      <c r="T38" s="227"/>
      <c r="U38" s="227"/>
      <c r="V38" s="227"/>
      <c r="W38" s="227"/>
      <c r="X38" s="227">
        <v>0.36241000000000001</v>
      </c>
      <c r="Y38" s="227">
        <v>0.36107</v>
      </c>
      <c r="Z38" s="227">
        <v>4.8000000000000001E-4</v>
      </c>
      <c r="AA38" s="227">
        <v>8.5999999999999998E-4</v>
      </c>
      <c r="AB38" s="227">
        <v>0.21107000000000001</v>
      </c>
      <c r="AC38" s="227">
        <v>0.21</v>
      </c>
      <c r="AD38" s="227">
        <v>5.6999999999999998E-4</v>
      </c>
      <c r="AE38" s="227">
        <v>5.0000000000000001E-4</v>
      </c>
      <c r="AF38" s="227">
        <v>0.11831999999999999</v>
      </c>
      <c r="AG38" s="227">
        <v>0.11713999999999999</v>
      </c>
      <c r="AH38" s="227">
        <v>5.0000000000000001E-4</v>
      </c>
      <c r="AI38" s="227">
        <v>6.8000000000000005E-4</v>
      </c>
      <c r="AJ38" s="215"/>
    </row>
    <row r="39" spans="1:36" s="194" customFormat="1">
      <c r="A39" s="664"/>
      <c r="B39" s="664" t="s">
        <v>1961</v>
      </c>
      <c r="C39" s="198" t="s">
        <v>1953</v>
      </c>
      <c r="D39" s="227">
        <v>0.19757</v>
      </c>
      <c r="E39" s="227">
        <v>0.19589999999999999</v>
      </c>
      <c r="F39" s="253">
        <v>4.6368000000000002E-6</v>
      </c>
      <c r="G39" s="227">
        <v>1.67E-3</v>
      </c>
      <c r="H39" s="227">
        <v>0.19625999999999999</v>
      </c>
      <c r="I39" s="227">
        <v>0.19558</v>
      </c>
      <c r="J39" s="227">
        <v>3.6000000000000002E-4</v>
      </c>
      <c r="K39" s="227">
        <v>3.2000000000000003E-4</v>
      </c>
      <c r="L39" s="227"/>
      <c r="M39" s="227"/>
      <c r="N39" s="227"/>
      <c r="O39" s="227"/>
      <c r="P39" s="227"/>
      <c r="Q39" s="227"/>
      <c r="R39" s="227"/>
      <c r="S39" s="227"/>
      <c r="T39" s="227"/>
      <c r="U39" s="227"/>
      <c r="V39" s="227"/>
      <c r="W39" s="227"/>
      <c r="X39" s="227">
        <v>0.19721</v>
      </c>
      <c r="Y39" s="227">
        <v>0.19578999999999999</v>
      </c>
      <c r="Z39" s="227">
        <v>1E-4</v>
      </c>
      <c r="AA39" s="227">
        <v>1.32E-3</v>
      </c>
      <c r="AB39" s="227">
        <v>0.12239</v>
      </c>
      <c r="AC39" s="227">
        <v>0.12161</v>
      </c>
      <c r="AD39" s="227">
        <v>4.0000000000000002E-4</v>
      </c>
      <c r="AE39" s="227">
        <v>3.8000000000000002E-4</v>
      </c>
      <c r="AF39" s="227">
        <v>5.0119999999999998E-2</v>
      </c>
      <c r="AG39" s="227">
        <v>4.9439999999999998E-2</v>
      </c>
      <c r="AH39" s="227">
        <v>2.9E-4</v>
      </c>
      <c r="AI39" s="227">
        <v>3.8999999999999999E-4</v>
      </c>
      <c r="AJ39" s="215"/>
    </row>
    <row r="40" spans="1:36" s="194" customFormat="1">
      <c r="A40" s="664"/>
      <c r="B40" s="664"/>
      <c r="C40" s="198" t="s">
        <v>1954</v>
      </c>
      <c r="D40" s="227">
        <v>0.31796999999999997</v>
      </c>
      <c r="E40" s="227">
        <v>0.31526999999999999</v>
      </c>
      <c r="F40" s="227">
        <v>1.0000000000000001E-5</v>
      </c>
      <c r="G40" s="227">
        <v>2.6900000000000001E-3</v>
      </c>
      <c r="H40" s="227">
        <v>0.31585000000000002</v>
      </c>
      <c r="I40" s="227">
        <v>0.31475999999999998</v>
      </c>
      <c r="J40" s="227">
        <v>5.6999999999999998E-4</v>
      </c>
      <c r="K40" s="227">
        <v>5.1999999999999995E-4</v>
      </c>
      <c r="L40" s="227"/>
      <c r="M40" s="227"/>
      <c r="N40" s="227"/>
      <c r="O40" s="227"/>
      <c r="P40" s="227"/>
      <c r="Q40" s="227"/>
      <c r="R40" s="227"/>
      <c r="S40" s="227"/>
      <c r="T40" s="227"/>
      <c r="U40" s="227"/>
      <c r="V40" s="227"/>
      <c r="W40" s="227"/>
      <c r="X40" s="227">
        <v>0.31736999999999999</v>
      </c>
      <c r="Y40" s="227">
        <v>0.31508999999999998</v>
      </c>
      <c r="Z40" s="227">
        <v>1.6000000000000001E-4</v>
      </c>
      <c r="AA40" s="227">
        <v>2.1199999999999999E-3</v>
      </c>
      <c r="AB40" s="227">
        <v>0.19697999999999999</v>
      </c>
      <c r="AC40" s="227">
        <v>0.19571</v>
      </c>
      <c r="AD40" s="227">
        <v>6.4999999999999997E-4</v>
      </c>
      <c r="AE40" s="227">
        <v>6.2E-4</v>
      </c>
      <c r="AF40" s="227">
        <v>8.0659999999999996E-2</v>
      </c>
      <c r="AG40" s="227">
        <v>7.9570000000000002E-2</v>
      </c>
      <c r="AH40" s="227">
        <v>4.6000000000000001E-4</v>
      </c>
      <c r="AI40" s="227">
        <v>6.3000000000000003E-4</v>
      </c>
      <c r="AJ40" s="215"/>
    </row>
    <row r="41" spans="1:36" s="194" customFormat="1">
      <c r="A41" s="664"/>
      <c r="B41" s="664" t="s">
        <v>1962</v>
      </c>
      <c r="C41" s="198" t="s">
        <v>1953</v>
      </c>
      <c r="D41" s="227">
        <v>0.17751</v>
      </c>
      <c r="E41" s="227">
        <v>0.17584</v>
      </c>
      <c r="F41" s="253">
        <v>4.6368000000000002E-6</v>
      </c>
      <c r="G41" s="227">
        <v>1.67E-3</v>
      </c>
      <c r="H41" s="227">
        <v>0.18287</v>
      </c>
      <c r="I41" s="227">
        <v>0.18218999999999999</v>
      </c>
      <c r="J41" s="227">
        <v>3.6000000000000002E-4</v>
      </c>
      <c r="K41" s="227">
        <v>3.2000000000000003E-4</v>
      </c>
      <c r="L41" s="227"/>
      <c r="M41" s="227"/>
      <c r="N41" s="227"/>
      <c r="O41" s="227"/>
      <c r="P41" s="227"/>
      <c r="Q41" s="227"/>
      <c r="R41" s="227"/>
      <c r="S41" s="227"/>
      <c r="T41" s="227"/>
      <c r="U41" s="227"/>
      <c r="V41" s="227"/>
      <c r="W41" s="227"/>
      <c r="X41" s="227">
        <v>0.17891000000000001</v>
      </c>
      <c r="Y41" s="227">
        <v>0.17749000000000001</v>
      </c>
      <c r="Z41" s="227">
        <v>1E-4</v>
      </c>
      <c r="AA41" s="227">
        <v>1.32E-3</v>
      </c>
      <c r="AB41" s="227">
        <v>0.10178</v>
      </c>
      <c r="AC41" s="227">
        <v>0.10101</v>
      </c>
      <c r="AD41" s="227">
        <v>3.8000000000000002E-4</v>
      </c>
      <c r="AE41" s="227">
        <v>3.8999999999999999E-4</v>
      </c>
      <c r="AF41" s="227">
        <v>6.5759999999999999E-2</v>
      </c>
      <c r="AG41" s="227">
        <v>6.5079999999999999E-2</v>
      </c>
      <c r="AH41" s="227">
        <v>2.9E-4</v>
      </c>
      <c r="AI41" s="227">
        <v>3.8999999999999999E-4</v>
      </c>
      <c r="AJ41" s="215"/>
    </row>
    <row r="42" spans="1:36" s="194" customFormat="1">
      <c r="A42" s="664"/>
      <c r="B42" s="664"/>
      <c r="C42" s="198" t="s">
        <v>1954</v>
      </c>
      <c r="D42" s="227">
        <v>0.28569</v>
      </c>
      <c r="E42" s="227">
        <v>0.28299000000000002</v>
      </c>
      <c r="F42" s="227">
        <v>1.0000000000000001E-5</v>
      </c>
      <c r="G42" s="227">
        <v>2.6900000000000001E-3</v>
      </c>
      <c r="H42" s="227">
        <v>0.29430000000000001</v>
      </c>
      <c r="I42" s="227">
        <v>0.29321000000000003</v>
      </c>
      <c r="J42" s="227">
        <v>5.6999999999999998E-4</v>
      </c>
      <c r="K42" s="227">
        <v>5.1999999999999995E-4</v>
      </c>
      <c r="L42" s="227"/>
      <c r="M42" s="227"/>
      <c r="N42" s="227"/>
      <c r="O42" s="227"/>
      <c r="P42" s="227"/>
      <c r="Q42" s="227"/>
      <c r="R42" s="227"/>
      <c r="S42" s="227"/>
      <c r="T42" s="227"/>
      <c r="U42" s="227"/>
      <c r="V42" s="227"/>
      <c r="W42" s="227"/>
      <c r="X42" s="227">
        <v>0.28793000000000002</v>
      </c>
      <c r="Y42" s="227">
        <v>0.28565000000000002</v>
      </c>
      <c r="Z42" s="227">
        <v>1.6000000000000001E-4</v>
      </c>
      <c r="AA42" s="227">
        <v>2.1199999999999999E-3</v>
      </c>
      <c r="AB42" s="227">
        <v>0.16381000000000001</v>
      </c>
      <c r="AC42" s="227">
        <v>0.16256000000000001</v>
      </c>
      <c r="AD42" s="227">
        <v>6.2E-4</v>
      </c>
      <c r="AE42" s="227">
        <v>6.3000000000000003E-4</v>
      </c>
      <c r="AF42" s="227">
        <v>0.10584</v>
      </c>
      <c r="AG42" s="227">
        <v>0.10473</v>
      </c>
      <c r="AH42" s="227">
        <v>4.6999999999999999E-4</v>
      </c>
      <c r="AI42" s="227">
        <v>6.4000000000000005E-4</v>
      </c>
      <c r="AJ42" s="215"/>
    </row>
    <row r="43" spans="1:36" s="194" customFormat="1"/>
    <row r="44" spans="1:36" s="194" customFormat="1">
      <c r="D44" s="215"/>
      <c r="E44" s="215"/>
      <c r="F44" s="251" t="s">
        <v>1945</v>
      </c>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row>
    <row r="45" spans="1:36" s="194" customFormat="1">
      <c r="D45" s="723" t="s">
        <v>607</v>
      </c>
      <c r="E45" s="723"/>
      <c r="F45" s="723"/>
      <c r="G45" s="723"/>
      <c r="H45" s="723" t="s">
        <v>1946</v>
      </c>
      <c r="I45" s="723"/>
      <c r="J45" s="723"/>
      <c r="K45" s="723"/>
      <c r="L45" s="723" t="s">
        <v>1947</v>
      </c>
      <c r="M45" s="723"/>
      <c r="N45" s="723"/>
      <c r="O45" s="723"/>
      <c r="P45" s="723" t="s">
        <v>1700</v>
      </c>
      <c r="Q45" s="723"/>
      <c r="R45" s="723"/>
      <c r="S45" s="723"/>
      <c r="T45" s="723" t="s">
        <v>1702</v>
      </c>
      <c r="U45" s="723"/>
      <c r="V45" s="723"/>
      <c r="W45" s="723"/>
      <c r="X45" s="723" t="s">
        <v>1948</v>
      </c>
      <c r="Y45" s="723"/>
      <c r="Z45" s="723"/>
      <c r="AA45" s="725"/>
      <c r="AB45" s="726" t="s">
        <v>1949</v>
      </c>
      <c r="AC45" s="727"/>
      <c r="AD45" s="727"/>
      <c r="AE45" s="728"/>
      <c r="AF45" s="726" t="s">
        <v>1950</v>
      </c>
      <c r="AG45" s="727"/>
      <c r="AH45" s="727"/>
      <c r="AI45" s="728"/>
      <c r="AJ45" s="215"/>
    </row>
    <row r="46" spans="1:36" s="194" customFormat="1" ht="15.6">
      <c r="A46" s="196" t="s">
        <v>1629</v>
      </c>
      <c r="B46" s="196" t="s">
        <v>1771</v>
      </c>
      <c r="C46" s="196" t="s">
        <v>1631</v>
      </c>
      <c r="D46" s="198" t="s">
        <v>1632</v>
      </c>
      <c r="E46" s="198" t="s">
        <v>1903</v>
      </c>
      <c r="F46" s="198" t="s">
        <v>1904</v>
      </c>
      <c r="G46" s="198" t="s">
        <v>1905</v>
      </c>
      <c r="H46" s="198" t="s">
        <v>1632</v>
      </c>
      <c r="I46" s="198" t="s">
        <v>1903</v>
      </c>
      <c r="J46" s="198" t="s">
        <v>1904</v>
      </c>
      <c r="K46" s="198" t="s">
        <v>1905</v>
      </c>
      <c r="L46" s="198" t="s">
        <v>1632</v>
      </c>
      <c r="M46" s="198" t="s">
        <v>1903</v>
      </c>
      <c r="N46" s="198" t="s">
        <v>1904</v>
      </c>
      <c r="O46" s="198" t="s">
        <v>1905</v>
      </c>
      <c r="P46" s="198" t="s">
        <v>1632</v>
      </c>
      <c r="Q46" s="198" t="s">
        <v>1903</v>
      </c>
      <c r="R46" s="198" t="s">
        <v>1904</v>
      </c>
      <c r="S46" s="198" t="s">
        <v>1905</v>
      </c>
      <c r="T46" s="198" t="s">
        <v>1632</v>
      </c>
      <c r="U46" s="198" t="s">
        <v>1903</v>
      </c>
      <c r="V46" s="198" t="s">
        <v>1904</v>
      </c>
      <c r="W46" s="198" t="s">
        <v>1905</v>
      </c>
      <c r="X46" s="198" t="s">
        <v>1632</v>
      </c>
      <c r="Y46" s="198" t="s">
        <v>1903</v>
      </c>
      <c r="Z46" s="198" t="s">
        <v>1904</v>
      </c>
      <c r="AA46" s="198" t="s">
        <v>1905</v>
      </c>
      <c r="AB46" s="277" t="s">
        <v>1632</v>
      </c>
      <c r="AC46" s="277" t="s">
        <v>1903</v>
      </c>
      <c r="AD46" s="277" t="s">
        <v>1904</v>
      </c>
      <c r="AE46" s="278" t="s">
        <v>1905</v>
      </c>
      <c r="AF46" s="279" t="s">
        <v>1632</v>
      </c>
      <c r="AG46" s="277" t="s">
        <v>1903</v>
      </c>
      <c r="AH46" s="277" t="s">
        <v>1904</v>
      </c>
      <c r="AI46" s="280" t="s">
        <v>1905</v>
      </c>
      <c r="AJ46" s="215"/>
    </row>
    <row r="47" spans="1:36" s="194" customFormat="1">
      <c r="A47" s="664" t="s">
        <v>1963</v>
      </c>
      <c r="B47" s="664" t="s">
        <v>1964</v>
      </c>
      <c r="C47" s="198" t="s">
        <v>1953</v>
      </c>
      <c r="D47" s="227">
        <v>0.13994000000000001</v>
      </c>
      <c r="E47" s="225">
        <v>0.13827</v>
      </c>
      <c r="F47" s="281">
        <v>4.6368000000000002E-6</v>
      </c>
      <c r="G47" s="225">
        <v>1.67E-3</v>
      </c>
      <c r="H47" s="227">
        <v>0.14369999999999999</v>
      </c>
      <c r="I47" s="225">
        <v>0.14302000000000001</v>
      </c>
      <c r="J47" s="225">
        <v>3.6000000000000002E-4</v>
      </c>
      <c r="K47" s="225">
        <v>3.2000000000000003E-4</v>
      </c>
      <c r="L47" s="227">
        <v>0.11274000000000001</v>
      </c>
      <c r="M47" s="225">
        <v>0.11173</v>
      </c>
      <c r="N47" s="225">
        <v>2.4000000000000001E-4</v>
      </c>
      <c r="O47" s="225">
        <v>7.6999999999999996E-4</v>
      </c>
      <c r="P47" s="282"/>
      <c r="Q47" s="282"/>
      <c r="R47" s="282"/>
      <c r="S47" s="282"/>
      <c r="T47" s="282"/>
      <c r="U47" s="282"/>
      <c r="V47" s="282"/>
      <c r="W47" s="282"/>
      <c r="X47" s="227">
        <v>0.14262</v>
      </c>
      <c r="Y47" s="225">
        <v>0.14161000000000001</v>
      </c>
      <c r="Z47" s="225">
        <v>2.4000000000000001E-4</v>
      </c>
      <c r="AA47" s="225">
        <v>7.6999999999999996E-4</v>
      </c>
      <c r="AB47" s="227">
        <v>6.0780000000000001E-2</v>
      </c>
      <c r="AC47" s="227">
        <v>6.0310000000000002E-2</v>
      </c>
      <c r="AD47" s="227">
        <v>2.2000000000000001E-4</v>
      </c>
      <c r="AE47" s="227">
        <v>2.5000000000000001E-4</v>
      </c>
      <c r="AF47" s="227">
        <v>4.2840000000000003E-2</v>
      </c>
      <c r="AG47" s="227">
        <v>4.2389999999999997E-2</v>
      </c>
      <c r="AH47" s="227">
        <v>1.9000000000000001E-4</v>
      </c>
      <c r="AI47" s="227">
        <v>2.5999999999999998E-4</v>
      </c>
      <c r="AJ47" s="215"/>
    </row>
    <row r="48" spans="1:36" s="194" customFormat="1">
      <c r="A48" s="664"/>
      <c r="B48" s="664"/>
      <c r="C48" s="198" t="s">
        <v>1954</v>
      </c>
      <c r="D48" s="227">
        <v>0.22522</v>
      </c>
      <c r="E48" s="225">
        <v>0.22252</v>
      </c>
      <c r="F48" s="225">
        <v>1.0000000000000001E-5</v>
      </c>
      <c r="G48" s="225">
        <v>2.6900000000000001E-3</v>
      </c>
      <c r="H48" s="227">
        <v>0.23125999999999999</v>
      </c>
      <c r="I48" s="225">
        <v>0.23017000000000001</v>
      </c>
      <c r="J48" s="225">
        <v>5.6999999999999998E-4</v>
      </c>
      <c r="K48" s="225">
        <v>5.1999999999999995E-4</v>
      </c>
      <c r="L48" s="227">
        <v>0.18143000000000001</v>
      </c>
      <c r="M48" s="225">
        <v>0.17981</v>
      </c>
      <c r="N48" s="225">
        <v>3.8000000000000002E-4</v>
      </c>
      <c r="O48" s="225">
        <v>1.24E-3</v>
      </c>
      <c r="P48" s="282"/>
      <c r="Q48" s="282"/>
      <c r="R48" s="282"/>
      <c r="S48" s="282"/>
      <c r="T48" s="282"/>
      <c r="U48" s="282"/>
      <c r="V48" s="282"/>
      <c r="W48" s="282"/>
      <c r="X48" s="227">
        <v>0.22953000000000001</v>
      </c>
      <c r="Y48" s="225">
        <v>0.22791</v>
      </c>
      <c r="Z48" s="225">
        <v>3.8000000000000002E-4</v>
      </c>
      <c r="AA48" s="225">
        <v>1.24E-3</v>
      </c>
      <c r="AB48" s="227">
        <v>9.7820000000000004E-2</v>
      </c>
      <c r="AC48" s="227">
        <v>9.7059999999999994E-2</v>
      </c>
      <c r="AD48" s="227">
        <v>3.6000000000000002E-4</v>
      </c>
      <c r="AE48" s="227">
        <v>4.0000000000000002E-4</v>
      </c>
      <c r="AF48" s="227">
        <v>6.8949999999999997E-2</v>
      </c>
      <c r="AG48" s="227">
        <v>6.8220000000000003E-2</v>
      </c>
      <c r="AH48" s="227">
        <v>3.1E-4</v>
      </c>
      <c r="AI48" s="227">
        <v>4.2000000000000002E-4</v>
      </c>
      <c r="AJ48" s="215"/>
    </row>
    <row r="49" spans="1:36" s="194" customFormat="1">
      <c r="A49" s="664"/>
      <c r="B49" s="664" t="s">
        <v>1965</v>
      </c>
      <c r="C49" s="198" t="s">
        <v>1953</v>
      </c>
      <c r="D49" s="227">
        <v>0.16807</v>
      </c>
      <c r="E49" s="225">
        <v>0.16639999999999999</v>
      </c>
      <c r="F49" s="281">
        <v>4.6368000000000002E-6</v>
      </c>
      <c r="G49" s="225">
        <v>1.67E-3</v>
      </c>
      <c r="H49" s="227">
        <v>0.17726</v>
      </c>
      <c r="I49" s="225">
        <v>0.17657999999999999</v>
      </c>
      <c r="J49" s="225">
        <v>3.6000000000000002E-4</v>
      </c>
      <c r="K49" s="225">
        <v>3.2000000000000003E-4</v>
      </c>
      <c r="L49" s="227">
        <v>0.1149</v>
      </c>
      <c r="M49" s="225">
        <v>0.11369</v>
      </c>
      <c r="N49" s="225">
        <v>1.7000000000000001E-4</v>
      </c>
      <c r="O49" s="225">
        <v>1.0399999999999999E-3</v>
      </c>
      <c r="P49" s="227">
        <v>0.15681999999999999</v>
      </c>
      <c r="Q49" s="225">
        <v>0.15468999999999999</v>
      </c>
      <c r="R49" s="225">
        <v>1.7700000000000001E-3</v>
      </c>
      <c r="S49" s="225">
        <v>3.6000000000000002E-4</v>
      </c>
      <c r="T49" s="227">
        <v>0.17634</v>
      </c>
      <c r="U49" s="225">
        <v>0.17591999999999999</v>
      </c>
      <c r="V49" s="225">
        <v>6.0000000000000002E-5</v>
      </c>
      <c r="W49" s="225">
        <v>3.6000000000000002E-4</v>
      </c>
      <c r="X49" s="227">
        <v>0.17255999999999999</v>
      </c>
      <c r="Y49" s="225">
        <v>0.17135</v>
      </c>
      <c r="Z49" s="225">
        <v>1.7000000000000001E-4</v>
      </c>
      <c r="AA49" s="225">
        <v>1.0399999999999999E-3</v>
      </c>
      <c r="AB49" s="227">
        <v>9.3119999999999994E-2</v>
      </c>
      <c r="AC49" s="227">
        <v>9.2450000000000004E-2</v>
      </c>
      <c r="AD49" s="227">
        <v>3.5E-4</v>
      </c>
      <c r="AE49" s="227">
        <v>3.2000000000000003E-4</v>
      </c>
      <c r="AF49" s="227">
        <v>4.6249999999999999E-2</v>
      </c>
      <c r="AG49" s="227">
        <v>4.573E-2</v>
      </c>
      <c r="AH49" s="227">
        <v>2.2000000000000001E-4</v>
      </c>
      <c r="AI49" s="227">
        <v>2.9999999999999997E-4</v>
      </c>
      <c r="AJ49" s="215"/>
    </row>
    <row r="50" spans="1:36" s="194" customFormat="1">
      <c r="A50" s="664"/>
      <c r="B50" s="664"/>
      <c r="C50" s="198" t="s">
        <v>1954</v>
      </c>
      <c r="D50" s="227">
        <v>0.27050000000000002</v>
      </c>
      <c r="E50" s="225">
        <v>0.26779999999999998</v>
      </c>
      <c r="F50" s="225">
        <v>1.0000000000000001E-5</v>
      </c>
      <c r="G50" s="225">
        <v>2.6900000000000001E-3</v>
      </c>
      <c r="H50" s="227">
        <v>0.28526000000000001</v>
      </c>
      <c r="I50" s="225">
        <v>0.28416999999999998</v>
      </c>
      <c r="J50" s="225">
        <v>5.6999999999999998E-4</v>
      </c>
      <c r="K50" s="225">
        <v>5.1999999999999995E-4</v>
      </c>
      <c r="L50" s="227">
        <v>0.18492</v>
      </c>
      <c r="M50" s="225">
        <v>0.18296999999999999</v>
      </c>
      <c r="N50" s="225">
        <v>2.7E-4</v>
      </c>
      <c r="O50" s="225">
        <v>1.6800000000000001E-3</v>
      </c>
      <c r="P50" s="227">
        <v>0.25237999999999999</v>
      </c>
      <c r="Q50" s="225">
        <v>0.24893999999999999</v>
      </c>
      <c r="R50" s="225">
        <v>2.8600000000000001E-3</v>
      </c>
      <c r="S50" s="225">
        <v>5.8E-4</v>
      </c>
      <c r="T50" s="227">
        <v>0.28377999999999998</v>
      </c>
      <c r="U50" s="225">
        <v>0.28310999999999997</v>
      </c>
      <c r="V50" s="225">
        <v>9.0000000000000006E-5</v>
      </c>
      <c r="W50" s="225">
        <v>5.8E-4</v>
      </c>
      <c r="X50" s="227">
        <v>0.27771000000000001</v>
      </c>
      <c r="Y50" s="225">
        <v>0.27576000000000001</v>
      </c>
      <c r="Z50" s="225">
        <v>2.7E-4</v>
      </c>
      <c r="AA50" s="225">
        <v>1.6800000000000001E-3</v>
      </c>
      <c r="AB50" s="227">
        <v>0.14985000000000001</v>
      </c>
      <c r="AC50" s="227">
        <v>0.14878</v>
      </c>
      <c r="AD50" s="227">
        <v>5.5000000000000003E-4</v>
      </c>
      <c r="AE50" s="227">
        <v>5.1999999999999995E-4</v>
      </c>
      <c r="AF50" s="227">
        <v>7.4429999999999996E-2</v>
      </c>
      <c r="AG50" s="227">
        <v>7.3590000000000003E-2</v>
      </c>
      <c r="AH50" s="227">
        <v>3.6000000000000002E-4</v>
      </c>
      <c r="AI50" s="227">
        <v>4.8000000000000001E-4</v>
      </c>
      <c r="AJ50" s="215"/>
    </row>
    <row r="51" spans="1:36" s="194" customFormat="1">
      <c r="A51" s="664"/>
      <c r="B51" s="664" t="s">
        <v>1966</v>
      </c>
      <c r="C51" s="198" t="s">
        <v>1953</v>
      </c>
      <c r="D51" s="227">
        <v>0.20729</v>
      </c>
      <c r="E51" s="225">
        <v>0.20562</v>
      </c>
      <c r="F51" s="281">
        <v>4.6368000000000002E-6</v>
      </c>
      <c r="G51" s="225">
        <v>1.67E-3</v>
      </c>
      <c r="H51" s="227">
        <v>0.26884999999999998</v>
      </c>
      <c r="I51" s="225">
        <v>0.26817000000000002</v>
      </c>
      <c r="J51" s="225">
        <v>3.6000000000000002E-4</v>
      </c>
      <c r="K51" s="225">
        <v>3.2000000000000003E-4</v>
      </c>
      <c r="L51" s="227">
        <v>0.15486</v>
      </c>
      <c r="M51" s="225">
        <v>0.15343000000000001</v>
      </c>
      <c r="N51" s="225">
        <v>1E-4</v>
      </c>
      <c r="O51" s="225">
        <v>1.33E-3</v>
      </c>
      <c r="P51" s="227">
        <v>0.23705000000000001</v>
      </c>
      <c r="Q51" s="225">
        <v>0.23491999999999999</v>
      </c>
      <c r="R51" s="225">
        <v>1.7700000000000001E-3</v>
      </c>
      <c r="S51" s="225">
        <v>3.6000000000000002E-4</v>
      </c>
      <c r="T51" s="227">
        <v>0.26758999999999999</v>
      </c>
      <c r="U51" s="225">
        <v>0.26717000000000002</v>
      </c>
      <c r="V51" s="225">
        <v>6.0000000000000002E-5</v>
      </c>
      <c r="W51" s="225">
        <v>3.6000000000000002E-4</v>
      </c>
      <c r="X51" s="227">
        <v>0.22472</v>
      </c>
      <c r="Y51" s="225">
        <v>0.22328999999999999</v>
      </c>
      <c r="Z51" s="225">
        <v>1E-4</v>
      </c>
      <c r="AA51" s="225">
        <v>1.33E-3</v>
      </c>
      <c r="AB51" s="227">
        <v>0.11923</v>
      </c>
      <c r="AC51" s="227">
        <v>0.11846</v>
      </c>
      <c r="AD51" s="227">
        <v>3.8999999999999999E-4</v>
      </c>
      <c r="AE51" s="227">
        <v>3.8000000000000002E-4</v>
      </c>
      <c r="AF51" s="227">
        <v>4.9250000000000002E-2</v>
      </c>
      <c r="AG51" s="227">
        <v>4.8640000000000003E-2</v>
      </c>
      <c r="AH51" s="227">
        <v>2.5999999999999998E-4</v>
      </c>
      <c r="AI51" s="227">
        <v>3.5E-4</v>
      </c>
      <c r="AJ51" s="215"/>
    </row>
    <row r="52" spans="1:36" s="194" customFormat="1">
      <c r="A52" s="664"/>
      <c r="B52" s="664"/>
      <c r="C52" s="198" t="s">
        <v>1954</v>
      </c>
      <c r="D52" s="227">
        <v>0.33362000000000003</v>
      </c>
      <c r="E52" s="225">
        <v>0.33091999999999999</v>
      </c>
      <c r="F52" s="225">
        <v>1.0000000000000001E-5</v>
      </c>
      <c r="G52" s="225">
        <v>2.6900000000000001E-3</v>
      </c>
      <c r="H52" s="227">
        <v>0.43267</v>
      </c>
      <c r="I52" s="225">
        <v>0.43158000000000002</v>
      </c>
      <c r="J52" s="225">
        <v>5.6999999999999998E-4</v>
      </c>
      <c r="K52" s="225">
        <v>5.1999999999999995E-4</v>
      </c>
      <c r="L52" s="227">
        <v>0.24920999999999999</v>
      </c>
      <c r="M52" s="225">
        <v>0.24692</v>
      </c>
      <c r="N52" s="225">
        <v>1.6000000000000001E-4</v>
      </c>
      <c r="O52" s="225">
        <v>2.1299999999999999E-3</v>
      </c>
      <c r="P52" s="227">
        <v>0.38151000000000002</v>
      </c>
      <c r="Q52" s="225">
        <v>0.37807000000000002</v>
      </c>
      <c r="R52" s="225">
        <v>2.8600000000000001E-3</v>
      </c>
      <c r="S52" s="225">
        <v>5.8E-4</v>
      </c>
      <c r="T52" s="227">
        <v>0.43064000000000002</v>
      </c>
      <c r="U52" s="225">
        <v>0.42997000000000002</v>
      </c>
      <c r="V52" s="225">
        <v>9.0000000000000006E-5</v>
      </c>
      <c r="W52" s="225">
        <v>5.8E-4</v>
      </c>
      <c r="X52" s="227">
        <v>0.36164000000000002</v>
      </c>
      <c r="Y52" s="225">
        <v>0.35935</v>
      </c>
      <c r="Z52" s="225">
        <v>1.6000000000000001E-4</v>
      </c>
      <c r="AA52" s="225">
        <v>2.1299999999999999E-3</v>
      </c>
      <c r="AB52" s="227">
        <v>0.19189999999999999</v>
      </c>
      <c r="AC52" s="227">
        <v>0.19064999999999999</v>
      </c>
      <c r="AD52" s="227">
        <v>6.4000000000000005E-4</v>
      </c>
      <c r="AE52" s="227">
        <v>6.0999999999999997E-4</v>
      </c>
      <c r="AF52" s="227">
        <v>7.9250000000000001E-2</v>
      </c>
      <c r="AG52" s="227">
        <v>7.8280000000000002E-2</v>
      </c>
      <c r="AH52" s="227">
        <v>4.0999999999999999E-4</v>
      </c>
      <c r="AI52" s="227">
        <v>5.5999999999999995E-4</v>
      </c>
      <c r="AJ52" s="215"/>
    </row>
    <row r="53" spans="1:36" s="194" customFormat="1">
      <c r="A53" s="664"/>
      <c r="B53" s="664" t="s">
        <v>1967</v>
      </c>
      <c r="C53" s="198" t="s">
        <v>1953</v>
      </c>
      <c r="D53" s="227">
        <v>0.16983999999999999</v>
      </c>
      <c r="E53" s="225">
        <v>0.16816999999999999</v>
      </c>
      <c r="F53" s="281">
        <v>4.6368000000000002E-6</v>
      </c>
      <c r="G53" s="225">
        <v>1.67E-3</v>
      </c>
      <c r="H53" s="227">
        <v>0.16450000000000001</v>
      </c>
      <c r="I53" s="225">
        <v>0.16381999999999999</v>
      </c>
      <c r="J53" s="225">
        <v>3.6000000000000002E-4</v>
      </c>
      <c r="K53" s="225">
        <v>3.2000000000000003E-4</v>
      </c>
      <c r="L53" s="227">
        <v>0.12606999999999999</v>
      </c>
      <c r="M53" s="225">
        <v>0.1249</v>
      </c>
      <c r="N53" s="225">
        <v>1.9000000000000001E-4</v>
      </c>
      <c r="O53" s="225">
        <v>9.7999999999999997E-4</v>
      </c>
      <c r="P53" s="227">
        <v>0.17513999999999999</v>
      </c>
      <c r="Q53" s="225">
        <v>0.17301</v>
      </c>
      <c r="R53" s="225">
        <v>1.7700000000000001E-3</v>
      </c>
      <c r="S53" s="225">
        <v>3.6000000000000002E-4</v>
      </c>
      <c r="T53" s="227">
        <v>0.19717999999999999</v>
      </c>
      <c r="U53" s="225">
        <v>0.19675999999999999</v>
      </c>
      <c r="V53" s="225">
        <v>6.0000000000000002E-5</v>
      </c>
      <c r="W53" s="225">
        <v>3.6000000000000002E-4</v>
      </c>
      <c r="X53" s="227">
        <v>0.16691</v>
      </c>
      <c r="Y53" s="225">
        <v>0.16574</v>
      </c>
      <c r="Z53" s="225">
        <v>1.9000000000000001E-4</v>
      </c>
      <c r="AA53" s="225">
        <v>9.7999999999999997E-4</v>
      </c>
      <c r="AB53" s="227">
        <v>0.10853</v>
      </c>
      <c r="AC53" s="227">
        <v>0.10781</v>
      </c>
      <c r="AD53" s="227">
        <v>3.6999999999999999E-4</v>
      </c>
      <c r="AE53" s="227">
        <v>3.5E-4</v>
      </c>
      <c r="AF53" s="227">
        <v>4.7449999999999999E-2</v>
      </c>
      <c r="AG53" s="227">
        <v>4.6899999999999997E-2</v>
      </c>
      <c r="AH53" s="227">
        <v>2.4000000000000001E-4</v>
      </c>
      <c r="AI53" s="227">
        <v>3.1E-4</v>
      </c>
      <c r="AJ53" s="215"/>
    </row>
    <row r="54" spans="1:36" s="194" customFormat="1">
      <c r="A54" s="664"/>
      <c r="B54" s="664"/>
      <c r="C54" s="198" t="s">
        <v>1954</v>
      </c>
      <c r="D54" s="227">
        <v>0.27334000000000003</v>
      </c>
      <c r="E54" s="225">
        <v>0.27063999999999999</v>
      </c>
      <c r="F54" s="225">
        <v>1.0000000000000001E-5</v>
      </c>
      <c r="G54" s="225">
        <v>2.6900000000000001E-3</v>
      </c>
      <c r="H54" s="227">
        <v>0.26473000000000002</v>
      </c>
      <c r="I54" s="225">
        <v>0.26363999999999999</v>
      </c>
      <c r="J54" s="225">
        <v>5.6999999999999998E-4</v>
      </c>
      <c r="K54" s="225">
        <v>5.1999999999999995E-4</v>
      </c>
      <c r="L54" s="227">
        <v>0.20288</v>
      </c>
      <c r="M54" s="225">
        <v>0.20100999999999999</v>
      </c>
      <c r="N54" s="225">
        <v>2.9999999999999997E-4</v>
      </c>
      <c r="O54" s="225">
        <v>1.57E-3</v>
      </c>
      <c r="P54" s="227">
        <v>0.28187000000000001</v>
      </c>
      <c r="Q54" s="225">
        <v>0.27843000000000001</v>
      </c>
      <c r="R54" s="225">
        <v>2.8600000000000001E-3</v>
      </c>
      <c r="S54" s="225">
        <v>5.8E-4</v>
      </c>
      <c r="T54" s="227">
        <v>0.31731999999999999</v>
      </c>
      <c r="U54" s="225">
        <v>0.31664999999999999</v>
      </c>
      <c r="V54" s="225">
        <v>9.0000000000000006E-5</v>
      </c>
      <c r="W54" s="225">
        <v>5.8E-4</v>
      </c>
      <c r="X54" s="227">
        <v>0.26860000000000001</v>
      </c>
      <c r="Y54" s="225">
        <v>0.26673000000000002</v>
      </c>
      <c r="Z54" s="225">
        <v>2.9999999999999997E-4</v>
      </c>
      <c r="AA54" s="225">
        <v>1.57E-3</v>
      </c>
      <c r="AB54" s="227">
        <v>0.17465</v>
      </c>
      <c r="AC54" s="227">
        <v>0.17349999999999999</v>
      </c>
      <c r="AD54" s="227">
        <v>5.9000000000000003E-4</v>
      </c>
      <c r="AE54" s="227">
        <v>5.5999999999999995E-4</v>
      </c>
      <c r="AF54" s="227">
        <v>7.6359999999999997E-2</v>
      </c>
      <c r="AG54" s="227">
        <v>7.5480000000000005E-2</v>
      </c>
      <c r="AH54" s="227">
        <v>3.6999999999999999E-4</v>
      </c>
      <c r="AI54" s="227">
        <v>5.1000000000000004E-4</v>
      </c>
      <c r="AJ54" s="215"/>
    </row>
    <row r="55" spans="1:36" s="194" customFormat="1">
      <c r="AJ55" s="215"/>
    </row>
    <row r="56" spans="1:36" s="194" customFormat="1">
      <c r="AJ56" s="215"/>
    </row>
    <row r="57" spans="1:36" s="194" customFormat="1">
      <c r="AJ57" s="215"/>
    </row>
    <row r="58" spans="1:36" s="194" customFormat="1" ht="15.6">
      <c r="A58" s="196" t="s">
        <v>1629</v>
      </c>
      <c r="B58" s="196" t="s">
        <v>1771</v>
      </c>
      <c r="C58" s="196" t="s">
        <v>1631</v>
      </c>
      <c r="D58" s="198" t="s">
        <v>1632</v>
      </c>
      <c r="E58" s="198" t="s">
        <v>1903</v>
      </c>
      <c r="F58" s="198" t="s">
        <v>1904</v>
      </c>
      <c r="G58" s="198" t="s">
        <v>1905</v>
      </c>
      <c r="I58" s="283"/>
      <c r="AJ58" s="215"/>
    </row>
    <row r="59" spans="1:36" s="194" customFormat="1">
      <c r="A59" s="664" t="s">
        <v>1968</v>
      </c>
      <c r="B59" s="664" t="s">
        <v>1969</v>
      </c>
      <c r="C59" s="198" t="s">
        <v>1953</v>
      </c>
      <c r="D59" s="225">
        <v>8.319E-2</v>
      </c>
      <c r="E59" s="225">
        <v>8.0939999999999998E-2</v>
      </c>
      <c r="F59" s="225">
        <v>1.75E-3</v>
      </c>
      <c r="G59" s="225">
        <v>5.0000000000000001E-4</v>
      </c>
      <c r="AJ59" s="215"/>
    </row>
    <row r="60" spans="1:36" s="194" customFormat="1">
      <c r="A60" s="664"/>
      <c r="B60" s="664"/>
      <c r="C60" s="198" t="s">
        <v>1954</v>
      </c>
      <c r="D60" s="225">
        <v>0.13389000000000001</v>
      </c>
      <c r="E60" s="225">
        <v>0.13027</v>
      </c>
      <c r="F60" s="225">
        <v>2.82E-3</v>
      </c>
      <c r="G60" s="225">
        <v>8.0000000000000004E-4</v>
      </c>
      <c r="AJ60" s="215"/>
    </row>
    <row r="61" spans="1:36" s="194" customFormat="1">
      <c r="A61" s="664"/>
      <c r="B61" s="664" t="s">
        <v>1970</v>
      </c>
      <c r="C61" s="198" t="s">
        <v>1953</v>
      </c>
      <c r="D61" s="225">
        <v>0.10106999999999999</v>
      </c>
      <c r="E61" s="225">
        <v>9.826E-2</v>
      </c>
      <c r="F61" s="225">
        <v>2.2799999999999999E-3</v>
      </c>
      <c r="G61" s="225">
        <v>5.2999999999999998E-4</v>
      </c>
      <c r="AJ61" s="215"/>
    </row>
    <row r="62" spans="1:36" s="194" customFormat="1">
      <c r="A62" s="664"/>
      <c r="B62" s="664"/>
      <c r="C62" s="198" t="s">
        <v>1954</v>
      </c>
      <c r="D62" s="225">
        <v>0.16264999999999999</v>
      </c>
      <c r="E62" s="225">
        <v>0.15812999999999999</v>
      </c>
      <c r="F62" s="225">
        <v>3.6700000000000001E-3</v>
      </c>
      <c r="G62" s="225">
        <v>8.4999999999999995E-4</v>
      </c>
      <c r="AJ62" s="215"/>
    </row>
    <row r="63" spans="1:36" s="194" customFormat="1">
      <c r="A63" s="664"/>
      <c r="B63" s="664" t="s">
        <v>1971</v>
      </c>
      <c r="C63" s="198" t="s">
        <v>1953</v>
      </c>
      <c r="D63" s="225">
        <v>0.13252</v>
      </c>
      <c r="E63" s="225">
        <v>0.13072</v>
      </c>
      <c r="F63" s="225">
        <v>1.2700000000000001E-3</v>
      </c>
      <c r="G63" s="225">
        <v>5.2999999999999998E-4</v>
      </c>
      <c r="AJ63" s="215"/>
    </row>
    <row r="64" spans="1:36" s="194" customFormat="1">
      <c r="A64" s="664"/>
      <c r="B64" s="664"/>
      <c r="C64" s="198" t="s">
        <v>1954</v>
      </c>
      <c r="D64" s="225">
        <v>0.21326000000000001</v>
      </c>
      <c r="E64" s="225">
        <v>0.21037</v>
      </c>
      <c r="F64" s="225">
        <v>2.0400000000000001E-3</v>
      </c>
      <c r="G64" s="225">
        <v>8.4999999999999995E-4</v>
      </c>
      <c r="AJ64" s="215"/>
    </row>
    <row r="65" spans="1:36" s="194" customFormat="1">
      <c r="A65" s="664"/>
      <c r="B65" s="664" t="s">
        <v>1972</v>
      </c>
      <c r="C65" s="198" t="s">
        <v>1953</v>
      </c>
      <c r="D65" s="225">
        <v>0.11366999999999999</v>
      </c>
      <c r="E65" s="225">
        <v>0.11138000000000001</v>
      </c>
      <c r="F65" s="225">
        <v>1.7700000000000001E-3</v>
      </c>
      <c r="G65" s="225">
        <v>5.1999999999999995E-4</v>
      </c>
      <c r="AJ65" s="215"/>
    </row>
    <row r="66" spans="1:36" s="194" customFormat="1">
      <c r="A66" s="664"/>
      <c r="B66" s="664"/>
      <c r="C66" s="198" t="s">
        <v>1954</v>
      </c>
      <c r="D66" s="225">
        <v>0.18293000000000001</v>
      </c>
      <c r="E66" s="225">
        <v>0.17924999999999999</v>
      </c>
      <c r="F66" s="225">
        <v>2.8400000000000001E-3</v>
      </c>
      <c r="G66" s="225">
        <v>8.4000000000000003E-4</v>
      </c>
      <c r="AJ66" s="215"/>
    </row>
    <row r="67" spans="1:36" s="194" customFormat="1">
      <c r="AJ67" s="215"/>
    </row>
    <row r="68" spans="1:36" s="194" customFormat="1">
      <c r="AJ68" s="215"/>
    </row>
    <row r="69" spans="1:36" s="194" customFormat="1">
      <c r="F69" s="251" t="s">
        <v>1945</v>
      </c>
      <c r="AJ69" s="215"/>
    </row>
    <row r="70" spans="1:36" s="194" customFormat="1" ht="15.6">
      <c r="A70" s="196" t="s">
        <v>1629</v>
      </c>
      <c r="B70" s="196" t="s">
        <v>1771</v>
      </c>
      <c r="C70" s="196" t="s">
        <v>1631</v>
      </c>
      <c r="D70" s="198" t="s">
        <v>1632</v>
      </c>
      <c r="E70" s="198" t="s">
        <v>1903</v>
      </c>
      <c r="F70" s="198" t="s">
        <v>1904</v>
      </c>
      <c r="G70" s="198" t="s">
        <v>1905</v>
      </c>
      <c r="AJ70" s="215"/>
    </row>
    <row r="71" spans="1:36" s="194" customFormat="1">
      <c r="A71" s="664" t="s">
        <v>1973</v>
      </c>
      <c r="B71" s="664" t="s">
        <v>1974</v>
      </c>
      <c r="C71" s="198" t="s">
        <v>1909</v>
      </c>
      <c r="D71" s="225">
        <v>0.14860999999999999</v>
      </c>
      <c r="E71" s="225">
        <v>0.14742</v>
      </c>
      <c r="F71" s="281">
        <v>3.3152000000000005E-6</v>
      </c>
      <c r="G71" s="225">
        <v>1.1900000000000001E-3</v>
      </c>
      <c r="AJ71" s="215"/>
    </row>
    <row r="72" spans="1:36" s="194" customFormat="1">
      <c r="A72" s="664"/>
      <c r="B72" s="664"/>
      <c r="C72" s="198" t="s">
        <v>1953</v>
      </c>
      <c r="D72" s="225">
        <v>0.20805000000000001</v>
      </c>
      <c r="E72" s="225">
        <v>0.20638000000000001</v>
      </c>
      <c r="F72" s="281">
        <v>4.6368000000000002E-6</v>
      </c>
      <c r="G72" s="225">
        <v>1.67E-3</v>
      </c>
      <c r="AJ72" s="215"/>
    </row>
    <row r="73" spans="1:36" s="194" customFormat="1">
      <c r="A73" s="664"/>
      <c r="B73" s="664" t="s">
        <v>1975</v>
      </c>
      <c r="C73" s="198" t="s">
        <v>1909</v>
      </c>
      <c r="D73" s="225">
        <v>0.20402000000000001</v>
      </c>
      <c r="E73" s="225">
        <v>0.20291000000000001</v>
      </c>
      <c r="F73" s="281">
        <v>3.0912000000000002E-6</v>
      </c>
      <c r="G73" s="225">
        <v>1.1100000000000001E-3</v>
      </c>
      <c r="AJ73" s="215"/>
    </row>
    <row r="74" spans="1:36" s="194" customFormat="1">
      <c r="A74" s="664"/>
      <c r="B74" s="664"/>
      <c r="C74" s="198" t="s">
        <v>1953</v>
      </c>
      <c r="D74" s="225">
        <v>0.30603000000000002</v>
      </c>
      <c r="E74" s="225">
        <v>0.30436000000000002</v>
      </c>
      <c r="F74" s="281">
        <v>4.6368000000000002E-6</v>
      </c>
      <c r="G74" s="225">
        <v>1.67E-3</v>
      </c>
      <c r="AJ74" s="215"/>
    </row>
    <row r="75" spans="1:36" s="194" customFormat="1">
      <c r="AJ75" s="215"/>
    </row>
    <row r="76" spans="1:36" s="194" customFormat="1">
      <c r="AJ76" s="215"/>
    </row>
    <row r="77" spans="1:36" s="194" customFormat="1">
      <c r="AJ77" s="215"/>
    </row>
    <row r="78" spans="1:36" s="194" customFormat="1" ht="15.6">
      <c r="A78" s="196" t="s">
        <v>1629</v>
      </c>
      <c r="B78" s="196" t="s">
        <v>1771</v>
      </c>
      <c r="C78" s="196" t="s">
        <v>1631</v>
      </c>
      <c r="D78" s="198" t="s">
        <v>1632</v>
      </c>
      <c r="E78" s="198" t="s">
        <v>1903</v>
      </c>
      <c r="F78" s="198" t="s">
        <v>1904</v>
      </c>
      <c r="G78" s="198" t="s">
        <v>1905</v>
      </c>
      <c r="AJ78" s="215"/>
    </row>
    <row r="79" spans="1:36" s="194" customFormat="1">
      <c r="A79" s="664" t="s">
        <v>1976</v>
      </c>
      <c r="B79" s="198" t="s">
        <v>1977</v>
      </c>
      <c r="C79" s="198" t="s">
        <v>1909</v>
      </c>
      <c r="D79" s="227">
        <v>0.12998999999999999</v>
      </c>
      <c r="E79" s="202">
        <v>0.12909000000000001</v>
      </c>
      <c r="F79" s="225">
        <v>2.0000000000000002E-5</v>
      </c>
      <c r="G79" s="225">
        <v>8.8000000000000003E-4</v>
      </c>
      <c r="AJ79" s="215"/>
    </row>
    <row r="80" spans="1:36" s="194" customFormat="1">
      <c r="A80" s="664"/>
      <c r="B80" s="198" t="s">
        <v>1978</v>
      </c>
      <c r="C80" s="198" t="s">
        <v>1909</v>
      </c>
      <c r="D80" s="227">
        <v>7.4469999999999995E-2</v>
      </c>
      <c r="E80" s="202">
        <v>7.399E-2</v>
      </c>
      <c r="F80" s="225">
        <v>1.0000000000000001E-5</v>
      </c>
      <c r="G80" s="225">
        <v>4.6999999999999999E-4</v>
      </c>
      <c r="AJ80" s="215"/>
    </row>
    <row r="81" spans="1:63" s="194" customFormat="1">
      <c r="A81" s="664"/>
      <c r="B81" s="198" t="s">
        <v>1979</v>
      </c>
      <c r="C81" s="198" t="s">
        <v>1909</v>
      </c>
      <c r="D81" s="227">
        <v>0.10846</v>
      </c>
      <c r="E81" s="202">
        <v>0.10772</v>
      </c>
      <c r="F81" s="225">
        <v>1.0000000000000001E-5</v>
      </c>
      <c r="G81" s="225">
        <v>7.2999999999999996E-4</v>
      </c>
      <c r="AJ81" s="215"/>
    </row>
    <row r="82" spans="1:63" s="194" customFormat="1">
      <c r="A82" s="664"/>
      <c r="B82" s="198" t="s">
        <v>1980</v>
      </c>
      <c r="C82" s="198" t="s">
        <v>1909</v>
      </c>
      <c r="D82" s="227">
        <v>2.717E-2</v>
      </c>
      <c r="E82" s="202">
        <v>2.6679999999999999E-2</v>
      </c>
      <c r="F82" s="225">
        <v>1.0000000000000001E-5</v>
      </c>
      <c r="G82" s="225">
        <v>4.8000000000000001E-4</v>
      </c>
      <c r="AJ82" s="215"/>
    </row>
    <row r="83" spans="1:63" s="194" customFormat="1">
      <c r="AJ83" s="215"/>
    </row>
    <row r="84" spans="1:63" s="194" customFormat="1">
      <c r="AJ84" s="215"/>
    </row>
    <row r="85" spans="1:63" s="194" customFormat="1">
      <c r="AJ85" s="215"/>
    </row>
    <row r="86" spans="1:63" s="194" customFormat="1" ht="15.6">
      <c r="A86" s="196" t="s">
        <v>1629</v>
      </c>
      <c r="B86" s="196" t="s">
        <v>1771</v>
      </c>
      <c r="C86" s="196" t="s">
        <v>1631</v>
      </c>
      <c r="D86" s="198" t="s">
        <v>1632</v>
      </c>
      <c r="E86" s="198" t="s">
        <v>1903</v>
      </c>
      <c r="F86" s="198" t="s">
        <v>1904</v>
      </c>
      <c r="G86" s="198" t="s">
        <v>1905</v>
      </c>
      <c r="AJ86" s="215"/>
    </row>
    <row r="87" spans="1:63" s="194" customFormat="1">
      <c r="A87" s="664" t="s">
        <v>1981</v>
      </c>
      <c r="B87" s="198" t="s">
        <v>1982</v>
      </c>
      <c r="C87" s="198" t="s">
        <v>1909</v>
      </c>
      <c r="D87" s="225">
        <v>3.5459999999999998E-2</v>
      </c>
      <c r="E87" s="225">
        <v>3.5099999999999999E-2</v>
      </c>
      <c r="F87" s="225">
        <v>8.0000000000000007E-5</v>
      </c>
      <c r="G87" s="225">
        <v>2.7999999999999998E-4</v>
      </c>
      <c r="AJ87" s="215"/>
    </row>
    <row r="88" spans="1:63" s="194" customFormat="1">
      <c r="A88" s="664"/>
      <c r="B88" s="198" t="s">
        <v>1983</v>
      </c>
      <c r="C88" s="198" t="s">
        <v>1909</v>
      </c>
      <c r="D88" s="225">
        <v>4.4600000000000004E-3</v>
      </c>
      <c r="E88" s="225">
        <v>4.4099999999999999E-3</v>
      </c>
      <c r="F88" s="225">
        <v>2.0000000000000002E-5</v>
      </c>
      <c r="G88" s="225">
        <v>3.0000000000000001E-5</v>
      </c>
      <c r="AJ88" s="215"/>
    </row>
    <row r="89" spans="1:63" s="194" customFormat="1">
      <c r="A89" s="664"/>
      <c r="B89" s="198" t="s">
        <v>1984</v>
      </c>
      <c r="C89" s="198" t="s">
        <v>1909</v>
      </c>
      <c r="D89" s="225">
        <v>2.86E-2</v>
      </c>
      <c r="E89" s="225">
        <v>2.8320000000000001E-2</v>
      </c>
      <c r="F89" s="225">
        <v>1.2E-4</v>
      </c>
      <c r="G89" s="225">
        <v>1.6000000000000001E-4</v>
      </c>
      <c r="AJ89" s="215"/>
    </row>
    <row r="90" spans="1:63" s="194" customFormat="1">
      <c r="A90" s="664"/>
      <c r="B90" s="198" t="s">
        <v>1985</v>
      </c>
      <c r="C90" s="198" t="s">
        <v>1909</v>
      </c>
      <c r="D90" s="225">
        <v>2.7799999999999998E-2</v>
      </c>
      <c r="E90" s="225">
        <v>2.7529999999999999E-2</v>
      </c>
      <c r="F90" s="225">
        <v>1.1E-4</v>
      </c>
      <c r="G90" s="225">
        <v>1.6000000000000001E-4</v>
      </c>
      <c r="AJ90" s="215"/>
    </row>
    <row r="91" spans="1:63" s="194" customFormat="1">
      <c r="A91" s="192"/>
      <c r="B91" s="192"/>
      <c r="C91" s="192"/>
      <c r="D91" s="192"/>
      <c r="E91" s="192"/>
      <c r="F91" s="192"/>
      <c r="G91" s="192"/>
      <c r="H91" s="192"/>
      <c r="I91" s="192"/>
      <c r="J91" s="192"/>
      <c r="K91" s="192"/>
      <c r="L91" s="192"/>
    </row>
    <row r="92" spans="1:63" s="167" customFormat="1" ht="15.6">
      <c r="A92" s="730" t="s">
        <v>1682</v>
      </c>
      <c r="B92" s="730"/>
      <c r="C92" s="730"/>
      <c r="D92" s="730"/>
      <c r="E92" s="730"/>
      <c r="F92" s="730"/>
      <c r="G92" s="730"/>
      <c r="H92" s="730"/>
      <c r="I92" s="730"/>
      <c r="J92" s="730"/>
      <c r="K92" s="730"/>
      <c r="L92" s="730"/>
      <c r="AJ92" s="194"/>
    </row>
    <row r="93" spans="1:63" ht="16.350000000000001" customHeight="1">
      <c r="A93" s="731" t="s">
        <v>1986</v>
      </c>
      <c r="B93" s="731"/>
      <c r="C93" s="731"/>
      <c r="D93" s="731"/>
      <c r="E93" s="731"/>
      <c r="F93" s="731"/>
      <c r="G93" s="731"/>
      <c r="H93" s="731"/>
      <c r="I93" s="731"/>
      <c r="J93" s="731"/>
      <c r="K93" s="731"/>
      <c r="L93" s="238"/>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row>
    <row r="94" spans="1:63" ht="17.100000000000001" customHeight="1">
      <c r="A94" s="732" t="s">
        <v>1987</v>
      </c>
      <c r="B94" s="732"/>
      <c r="C94" s="732"/>
      <c r="D94" s="732"/>
      <c r="E94" s="732"/>
      <c r="F94" s="732"/>
      <c r="G94" s="732"/>
      <c r="H94" s="732"/>
      <c r="I94" s="732"/>
      <c r="J94" s="732"/>
      <c r="K94" s="732"/>
      <c r="L94" s="732"/>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row>
    <row r="95" spans="1:63" s="204" customFormat="1">
      <c r="A95" s="729" t="s">
        <v>1988</v>
      </c>
      <c r="B95" s="729"/>
      <c r="C95" s="729"/>
      <c r="D95" s="729"/>
      <c r="E95" s="729"/>
      <c r="F95" s="729"/>
      <c r="G95" s="729"/>
      <c r="H95" s="729"/>
      <c r="I95" s="729"/>
      <c r="J95" s="729"/>
      <c r="K95" s="194"/>
    </row>
    <row r="96" spans="1:63" s="206" customFormat="1" ht="6.6">
      <c r="A96" s="275"/>
      <c r="B96" s="275"/>
      <c r="C96" s="275"/>
      <c r="D96" s="275"/>
      <c r="E96" s="275"/>
      <c r="F96" s="275"/>
      <c r="G96" s="275"/>
      <c r="H96" s="275"/>
      <c r="I96" s="275"/>
      <c r="J96" s="275"/>
      <c r="K96" s="275"/>
    </row>
    <row r="97" spans="1:63" s="204" customFormat="1" ht="15.75" customHeight="1">
      <c r="A97" s="673" t="s">
        <v>1989</v>
      </c>
      <c r="B97" s="673"/>
      <c r="C97" s="673"/>
      <c r="D97" s="673"/>
      <c r="E97" s="673"/>
      <c r="F97" s="673"/>
      <c r="G97" s="673"/>
      <c r="H97" s="734"/>
      <c r="I97" s="734"/>
      <c r="J97" s="734"/>
      <c r="K97" s="734"/>
      <c r="L97" s="284"/>
    </row>
    <row r="98" spans="1:63" s="204" customFormat="1" ht="18.600000000000001" customHeight="1">
      <c r="A98" s="668" t="s">
        <v>1990</v>
      </c>
      <c r="B98" s="668"/>
      <c r="C98" s="668"/>
      <c r="D98" s="668"/>
      <c r="E98" s="668"/>
      <c r="F98" s="668"/>
      <c r="G98" s="668"/>
      <c r="H98" s="668"/>
      <c r="I98" s="668"/>
      <c r="J98" s="668"/>
      <c r="K98" s="668"/>
      <c r="L98" s="668"/>
    </row>
    <row r="99" spans="1:63" s="204" customFormat="1" ht="20.85" customHeight="1">
      <c r="A99" s="668"/>
      <c r="B99" s="668"/>
      <c r="C99" s="668"/>
      <c r="D99" s="668"/>
      <c r="E99" s="668"/>
      <c r="F99" s="668"/>
      <c r="G99" s="668"/>
      <c r="H99" s="668"/>
      <c r="I99" s="668"/>
      <c r="J99" s="668"/>
      <c r="K99" s="668"/>
      <c r="L99" s="668"/>
    </row>
    <row r="100" spans="1:63" s="204" customFormat="1" ht="16.2" customHeight="1">
      <c r="A100" s="673" t="s">
        <v>1991</v>
      </c>
      <c r="B100" s="673"/>
      <c r="C100" s="673"/>
      <c r="D100" s="673"/>
      <c r="E100" s="673"/>
      <c r="F100" s="673"/>
      <c r="G100" s="673"/>
      <c r="H100" s="673"/>
      <c r="I100" s="673"/>
      <c r="J100" s="673"/>
      <c r="K100" s="673"/>
      <c r="L100" s="673"/>
      <c r="M100" s="673"/>
    </row>
    <row r="101" spans="1:63" s="204" customFormat="1" ht="88.5" customHeight="1">
      <c r="A101" s="668" t="s">
        <v>1992</v>
      </c>
      <c r="B101" s="668"/>
      <c r="C101" s="668"/>
      <c r="D101" s="668"/>
      <c r="E101" s="668"/>
      <c r="F101" s="668"/>
      <c r="G101" s="668"/>
      <c r="H101" s="668"/>
      <c r="I101" s="668"/>
      <c r="J101" s="668"/>
      <c r="K101" s="668"/>
      <c r="L101" s="668"/>
      <c r="M101" s="668"/>
    </row>
    <row r="102" spans="1:63" s="204" customFormat="1">
      <c r="A102" s="673" t="s">
        <v>1993</v>
      </c>
      <c r="B102" s="673"/>
      <c r="C102" s="673"/>
      <c r="D102" s="673"/>
      <c r="E102" s="673"/>
      <c r="F102" s="673"/>
      <c r="G102" s="673"/>
      <c r="H102" s="673"/>
      <c r="I102" s="673"/>
      <c r="J102" s="673"/>
      <c r="K102" s="673"/>
      <c r="L102" s="673"/>
      <c r="M102" s="673"/>
    </row>
    <row r="103" spans="1:63" s="204" customFormat="1" ht="23.25" customHeight="1">
      <c r="A103" s="668" t="s">
        <v>1994</v>
      </c>
      <c r="B103" s="668"/>
      <c r="C103" s="668"/>
      <c r="D103" s="668"/>
      <c r="E103" s="668"/>
      <c r="F103" s="668"/>
      <c r="G103" s="668"/>
      <c r="H103" s="668"/>
      <c r="I103" s="668"/>
      <c r="J103" s="668"/>
      <c r="K103" s="668"/>
      <c r="L103" s="668"/>
      <c r="M103" s="668"/>
    </row>
    <row r="104" spans="1:63">
      <c r="A104" s="285"/>
      <c r="B104" s="285"/>
      <c r="C104" s="285"/>
      <c r="D104" s="285"/>
      <c r="E104" s="285"/>
      <c r="F104" s="285"/>
      <c r="G104" s="285"/>
      <c r="H104" s="285"/>
      <c r="I104" s="285"/>
      <c r="J104" s="285"/>
      <c r="K104" s="285"/>
      <c r="L104" s="285"/>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row>
    <row r="105" spans="1:63">
      <c r="A105" s="733" t="s">
        <v>1685</v>
      </c>
      <c r="B105" s="733"/>
      <c r="C105" s="733"/>
      <c r="D105" s="733"/>
      <c r="E105" s="733"/>
      <c r="F105" s="733"/>
      <c r="G105" s="733"/>
      <c r="H105" s="733"/>
      <c r="I105" s="733"/>
      <c r="J105" s="733"/>
      <c r="K105" s="733"/>
      <c r="L105" s="733"/>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row>
    <row r="106" spans="1:63">
      <c r="A106" s="698"/>
      <c r="B106" s="698"/>
      <c r="C106" s="698"/>
      <c r="D106" s="698"/>
      <c r="E106" s="698"/>
      <c r="F106" s="698"/>
      <c r="G106" s="698"/>
      <c r="H106" s="698"/>
      <c r="I106" s="698"/>
      <c r="J106" s="698"/>
      <c r="K106" s="698"/>
      <c r="L106" s="698"/>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row>
    <row r="107" spans="1:63">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row>
    <row r="108" spans="1:63">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row>
    <row r="109" spans="1:63">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row>
    <row r="110" spans="1:63">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row>
    <row r="111" spans="1:63">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row>
    <row r="112" spans="1:63">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row>
    <row r="113" spans="28:63">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row>
    <row r="114" spans="28:63">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row>
    <row r="115" spans="28:63">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row>
    <row r="116" spans="28:63">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row>
    <row r="117" spans="28:63">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row>
    <row r="118" spans="28:63">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row>
    <row r="119" spans="28:63">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row>
    <row r="120" spans="28:63">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row>
    <row r="121" spans="28:63">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row>
    <row r="122" spans="28:63">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row>
    <row r="123" spans="28:63">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row>
    <row r="124" spans="28:63">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row>
    <row r="125" spans="28:63">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row>
    <row r="126" spans="28:63">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row>
    <row r="127" spans="28:63">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row>
    <row r="128" spans="28:63">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row>
    <row r="129" spans="28:63">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row>
    <row r="130" spans="28:63">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row>
    <row r="131" spans="28:63">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row>
    <row r="132" spans="28:63">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row>
    <row r="133" spans="28:63">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row>
    <row r="134" spans="28:63">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row>
    <row r="135" spans="28:63">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row>
    <row r="136" spans="28:63">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row>
    <row r="137" spans="28:63">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row>
    <row r="138" spans="28:63">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row>
    <row r="139" spans="28:63">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row>
    <row r="140" spans="28:63">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row>
    <row r="141" spans="28:63">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row>
    <row r="142" spans="28:63">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row>
    <row r="143" spans="28:63">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row>
    <row r="144" spans="28:63">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row>
    <row r="145" spans="28:63">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row>
    <row r="146" spans="28:63">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row>
    <row r="147" spans="28:63">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row>
    <row r="148" spans="28:63">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row>
    <row r="149" spans="28:63">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row>
    <row r="150" spans="28:63">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row>
    <row r="151" spans="28:63">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row>
    <row r="152" spans="28:63">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row>
    <row r="153" spans="28:63">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row>
    <row r="154" spans="28:63">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row>
    <row r="155" spans="28:63">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row>
    <row r="156" spans="28:63">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row>
    <row r="157" spans="28:63">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row>
    <row r="158" spans="28:63">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row>
    <row r="159" spans="28:63">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row>
    <row r="160" spans="28:63">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row>
    <row r="161" spans="28:63">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row>
    <row r="162" spans="28:63">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row>
    <row r="163" spans="28:63">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row>
    <row r="164" spans="28:63">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row>
    <row r="165" spans="28:63">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row>
    <row r="166" spans="28:63">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row>
    <row r="167" spans="28:63">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row>
    <row r="168" spans="28:63">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row>
    <row r="169" spans="28:63">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row>
    <row r="170" spans="28:63">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row>
    <row r="171" spans="28:63">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row>
    <row r="172" spans="28:63">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row>
    <row r="173" spans="28:63">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row>
    <row r="174" spans="28:63">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row>
    <row r="175" spans="28:63">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row>
    <row r="176" spans="28:63">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row>
    <row r="177" spans="28:63">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row>
    <row r="178" spans="28:63">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row>
    <row r="179" spans="28:63">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row>
    <row r="180" spans="28:63">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row>
    <row r="181" spans="28:63">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row>
    <row r="182" spans="28:63">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row>
    <row r="183" spans="28:63">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row>
    <row r="184" spans="28:63">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row>
    <row r="185" spans="28:63">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row>
    <row r="186" spans="28:63">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row>
    <row r="187" spans="28:63">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row>
    <row r="188" spans="28:63">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row>
    <row r="189" spans="28:63">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row>
    <row r="190" spans="28:63">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row>
    <row r="191" spans="28:63">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row>
    <row r="192" spans="28:63">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row>
    <row r="193" spans="28:63">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row>
    <row r="194" spans="28:63">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row>
    <row r="195" spans="28:63">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row>
    <row r="196" spans="28:63">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row>
    <row r="197" spans="28:63">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row>
    <row r="198" spans="28:63">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row>
    <row r="199" spans="28:63">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row>
    <row r="200" spans="28:63">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row>
    <row r="201" spans="28:63">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row>
    <row r="202" spans="28:63">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row>
    <row r="203" spans="28:63">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row>
    <row r="204" spans="28:63">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row>
    <row r="205" spans="28:63">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row>
    <row r="206" spans="28:63">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row>
    <row r="207" spans="28:63">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row>
    <row r="208" spans="28:63">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row>
    <row r="209" spans="28:63">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row>
    <row r="210" spans="28:63">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row>
    <row r="211" spans="28:63">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row>
    <row r="212" spans="28:63">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row>
    <row r="213" spans="28:63">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row>
    <row r="214" spans="28:63">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row>
    <row r="215" spans="28:63">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row>
    <row r="216" spans="28:63">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row>
    <row r="217" spans="28:63">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row>
    <row r="218" spans="28:63">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row>
    <row r="219" spans="28:63">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row>
    <row r="220" spans="28:63">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row>
    <row r="221" spans="28:63">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row>
    <row r="222" spans="28:63">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row>
    <row r="223" spans="28:63">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row>
    <row r="224" spans="28:63">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row>
    <row r="225" spans="28:63">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row>
    <row r="226" spans="28:63">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row>
    <row r="227" spans="28:63">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row>
    <row r="228" spans="28:63">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row>
    <row r="229" spans="28:63">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row>
    <row r="230" spans="28:63">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row>
    <row r="231" spans="28:63">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row>
    <row r="232" spans="28:63">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row>
    <row r="233" spans="28:63">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row>
    <row r="234" spans="28:63">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row>
    <row r="235" spans="28:63">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row>
    <row r="236" spans="28:63">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row>
    <row r="237" spans="28:63">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row>
    <row r="238" spans="28:63">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row>
    <row r="239" spans="28:63">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row>
    <row r="240" spans="28:63">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row>
    <row r="241" spans="28:63">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row>
    <row r="242" spans="28:63">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row>
    <row r="243" spans="28:63">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row>
    <row r="244" spans="28:63">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row>
    <row r="245" spans="28:63">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row>
    <row r="246" spans="28:63">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row>
    <row r="247" spans="28:63">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row>
    <row r="248" spans="28:63">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row>
    <row r="249" spans="28:63">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row>
    <row r="250" spans="28:63">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row>
    <row r="251" spans="28:63">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row>
    <row r="252" spans="28:63">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row>
    <row r="253" spans="28:63">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row>
    <row r="254" spans="28:63">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row>
    <row r="255" spans="28:63">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row>
    <row r="256" spans="28:63">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row>
    <row r="257" spans="28:63">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row>
    <row r="258" spans="28:63">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row>
    <row r="259" spans="28:63">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row>
    <row r="260" spans="28:63">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row>
    <row r="261" spans="28:63">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row>
    <row r="262" spans="28:63">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row>
    <row r="263" spans="28:63">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row>
    <row r="264" spans="28:63">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row>
    <row r="265" spans="28:63">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row>
  </sheetData>
  <sheetProtection algorithmName="SHA-512" hashValue="Vrli4Abcgjk1V6B/pxFmclh3N9VchejsuDTiGaKfB3XLYnsb240495wGnQsjIKSdd/3LuK5RtyYHg7EU2VgdCQ==" saltValue="Sc3xN64p0tlhf0EkcTIfmg==" spinCount="100000" sheet="1" objects="1" scenarios="1" autoFilter="0"/>
  <mergeCells count="65">
    <mergeCell ref="A105:L105"/>
    <mergeCell ref="A106:L106"/>
    <mergeCell ref="A97:K97"/>
    <mergeCell ref="A98:L99"/>
    <mergeCell ref="A100:M100"/>
    <mergeCell ref="A101:M101"/>
    <mergeCell ref="A102:M102"/>
    <mergeCell ref="A103:M103"/>
    <mergeCell ref="A95:J95"/>
    <mergeCell ref="A59:A66"/>
    <mergeCell ref="B59:B60"/>
    <mergeCell ref="B61:B62"/>
    <mergeCell ref="B63:B64"/>
    <mergeCell ref="B65:B66"/>
    <mergeCell ref="A71:A74"/>
    <mergeCell ref="B71:B72"/>
    <mergeCell ref="B73:B74"/>
    <mergeCell ref="A79:A82"/>
    <mergeCell ref="A87:A90"/>
    <mergeCell ref="A92:L92"/>
    <mergeCell ref="A93:K93"/>
    <mergeCell ref="A94:L94"/>
    <mergeCell ref="T45:W45"/>
    <mergeCell ref="X45:AA45"/>
    <mergeCell ref="AB45:AE45"/>
    <mergeCell ref="AF45:AI45"/>
    <mergeCell ref="A47:A54"/>
    <mergeCell ref="B47:B48"/>
    <mergeCell ref="B49:B50"/>
    <mergeCell ref="B51:B52"/>
    <mergeCell ref="B53:B54"/>
    <mergeCell ref="P45:S45"/>
    <mergeCell ref="B39:B40"/>
    <mergeCell ref="B41:B42"/>
    <mergeCell ref="D45:G45"/>
    <mergeCell ref="H45:K45"/>
    <mergeCell ref="L45:O45"/>
    <mergeCell ref="AB23:AE23"/>
    <mergeCell ref="AF23:AI23"/>
    <mergeCell ref="A25:A42"/>
    <mergeCell ref="B25:B26"/>
    <mergeCell ref="B27:B28"/>
    <mergeCell ref="B29:B30"/>
    <mergeCell ref="B31:B32"/>
    <mergeCell ref="B33:B34"/>
    <mergeCell ref="B35:B36"/>
    <mergeCell ref="B37:B38"/>
    <mergeCell ref="D23:G23"/>
    <mergeCell ref="H23:K23"/>
    <mergeCell ref="L23:O23"/>
    <mergeCell ref="P23:S23"/>
    <mergeCell ref="T23:W23"/>
    <mergeCell ref="X23:AA23"/>
    <mergeCell ref="A20:L20"/>
    <mergeCell ref="A8:L8"/>
    <mergeCell ref="A9:L9"/>
    <mergeCell ref="A10:L10"/>
    <mergeCell ref="A12:L12"/>
    <mergeCell ref="A13:L13"/>
    <mergeCell ref="A14:L14"/>
    <mergeCell ref="A15:L15"/>
    <mergeCell ref="A16:L16"/>
    <mergeCell ref="A17:L17"/>
    <mergeCell ref="A18:L18"/>
    <mergeCell ref="A19:L19"/>
  </mergeCells>
  <conditionalFormatting sqref="D25 D27 D29 D31 D33 D35 D37 D39 D41">
    <cfRule type="expression" dxfId="20" priority="1">
      <formula>IF(D25="",TRUE,FALSE)</formula>
    </cfRule>
  </conditionalFormatting>
  <conditionalFormatting sqref="L25:W42">
    <cfRule type="expression" dxfId="19" priority="2">
      <formula>IF(L25="",TRUE,FALSE)</formula>
    </cfRule>
  </conditionalFormatting>
  <conditionalFormatting sqref="AB25:AE26">
    <cfRule type="expression" dxfId="18" priority="5">
      <formula>IF(AB25="",TRUE,FALSE)</formula>
    </cfRule>
  </conditionalFormatting>
  <conditionalFormatting sqref="AC27:AE40 AB41:AE42">
    <cfRule type="expression" dxfId="17" priority="7">
      <formula>IF(AB27="",TRUE,FALSE)</formula>
    </cfRule>
  </conditionalFormatting>
  <conditionalFormatting sqref="AC47:AE54">
    <cfRule type="expression" dxfId="16" priority="4">
      <formula>IF(AC47="",TRUE,FALSE)</formula>
    </cfRule>
  </conditionalFormatting>
  <conditionalFormatting sqref="AG25:AI42">
    <cfRule type="expression" dxfId="15" priority="6">
      <formula>IF(AG25="",TRUE,FALSE)</formula>
    </cfRule>
  </conditionalFormatting>
  <conditionalFormatting sqref="AG47:AI54">
    <cfRule type="expression" dxfId="14" priority="3">
      <formula>IF(AG47="",TRUE,FALSE)</formula>
    </cfRule>
  </conditionalFormatting>
  <hyperlinks>
    <hyperlink ref="A3" location="Index!A1" display="Index" xr:uid="{00000000-0004-0000-2500-000000000000}"/>
  </hyperlinks>
  <pageMargins left="0.7" right="0.7" top="0.75" bottom="0.75" header="0.3" footer="0.3"/>
  <pageSetup paperSize="9" scale="10" fitToHeight="0"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8168889431442"/>
    <pageSetUpPr fitToPage="1"/>
  </sheetPr>
  <dimension ref="A1:BD154"/>
  <sheetViews>
    <sheetView workbookViewId="0"/>
  </sheetViews>
  <sheetFormatPr baseColWidth="10" defaultColWidth="11.33203125" defaultRowHeight="13.2"/>
  <cols>
    <col min="1" max="1" width="15.33203125" style="240" customWidth="1"/>
    <col min="2" max="2" width="18" style="240" customWidth="1"/>
    <col min="3" max="3" width="19.33203125" style="240" customWidth="1"/>
    <col min="4" max="4" width="14.5546875" style="240" customWidth="1"/>
    <col min="5" max="6" width="22.6640625" style="240" bestFit="1" customWidth="1"/>
    <col min="7" max="7" width="22.88671875" style="240" bestFit="1" customWidth="1"/>
    <col min="8" max="8" width="14.5546875" style="240" customWidth="1"/>
    <col min="9" max="10" width="22.6640625" style="240" bestFit="1" customWidth="1"/>
    <col min="11" max="11" width="22.88671875" style="240" bestFit="1" customWidth="1"/>
    <col min="12" max="12" width="14.5546875" style="240" customWidth="1"/>
    <col min="13" max="14" width="22.6640625" style="240" bestFit="1" customWidth="1"/>
    <col min="15" max="15" width="22.88671875" style="240" bestFit="1" customWidth="1"/>
    <col min="16" max="16" width="14.5546875" style="204" customWidth="1"/>
    <col min="17" max="18" width="22.6640625" style="204" bestFit="1" customWidth="1"/>
    <col min="19" max="19" width="22.88671875" style="204" bestFit="1" customWidth="1"/>
    <col min="20" max="20" width="14.5546875" style="204" customWidth="1"/>
    <col min="21" max="22" width="22.6640625" style="204" bestFit="1" customWidth="1"/>
    <col min="23" max="23" width="22.88671875" style="204" bestFit="1" customWidth="1"/>
    <col min="24" max="24" width="14.5546875" style="204" customWidth="1"/>
    <col min="25" max="26" width="22.6640625" style="204" bestFit="1" customWidth="1"/>
    <col min="27" max="27" width="22.88671875" style="204" bestFit="1" customWidth="1"/>
    <col min="28" max="28" width="14.5546875" style="240" customWidth="1"/>
    <col min="29" max="30" width="22.6640625" style="240" bestFit="1" customWidth="1"/>
    <col min="31" max="31" width="22.88671875" style="240" bestFit="1" customWidth="1"/>
    <col min="32" max="32" width="14.5546875" style="240" customWidth="1"/>
    <col min="33" max="34" width="22.6640625" style="240" bestFit="1" customWidth="1"/>
    <col min="35" max="35" width="22.88671875" style="240" bestFit="1" customWidth="1"/>
    <col min="36" max="36" width="32.5546875" style="240" customWidth="1"/>
    <col min="37" max="16384" width="11.33203125" style="240"/>
  </cols>
  <sheetData>
    <row r="1" spans="1:56" s="164" customFormat="1" ht="10.199999999999999">
      <c r="A1" s="164" t="s">
        <v>1606</v>
      </c>
    </row>
    <row r="2" spans="1:56" ht="21">
      <c r="A2" s="165" t="s">
        <v>1995</v>
      </c>
      <c r="B2" s="165"/>
      <c r="C2" s="165"/>
      <c r="D2" s="165"/>
      <c r="E2" s="165"/>
      <c r="F2" s="165"/>
      <c r="G2" s="204"/>
      <c r="H2" s="204"/>
      <c r="I2" s="204"/>
      <c r="J2" s="204"/>
      <c r="K2" s="204"/>
      <c r="L2" s="204"/>
      <c r="M2" s="204"/>
      <c r="N2" s="204"/>
      <c r="O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row>
    <row r="3" spans="1:56" ht="13.8">
      <c r="A3" s="169" t="s">
        <v>1608</v>
      </c>
      <c r="B3" s="204"/>
      <c r="C3" s="204"/>
      <c r="D3" s="204"/>
      <c r="E3" s="204"/>
      <c r="F3" s="204"/>
      <c r="G3" s="204"/>
      <c r="H3" s="204"/>
      <c r="I3" s="204"/>
      <c r="J3" s="204"/>
      <c r="K3" s="204"/>
      <c r="L3" s="204"/>
      <c r="M3" s="204"/>
      <c r="N3" s="204"/>
      <c r="O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row>
    <row r="4" spans="1:56" s="241" customFormat="1" ht="7.2" thickBot="1">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row>
    <row r="5" spans="1:56" ht="14.4" thickTop="1">
      <c r="A5" s="242" t="s">
        <v>1609</v>
      </c>
      <c r="B5" s="243" t="s">
        <v>1995</v>
      </c>
      <c r="C5" s="177" t="s">
        <v>1610</v>
      </c>
      <c r="D5" s="179">
        <v>45818</v>
      </c>
      <c r="E5" s="207" t="s">
        <v>1611</v>
      </c>
      <c r="F5" s="179" t="s">
        <v>1612</v>
      </c>
      <c r="G5" s="204"/>
      <c r="H5" s="204"/>
      <c r="I5" s="204"/>
      <c r="J5" s="204"/>
      <c r="K5" s="204"/>
      <c r="L5" s="204"/>
      <c r="M5" s="204"/>
      <c r="N5" s="204"/>
      <c r="O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row>
    <row r="6" spans="1:56" ht="14.4" thickBot="1">
      <c r="A6" s="244" t="s">
        <v>1613</v>
      </c>
      <c r="B6" s="245" t="s">
        <v>1996</v>
      </c>
      <c r="C6" s="244" t="s">
        <v>1615</v>
      </c>
      <c r="D6" s="208">
        <v>1.1000000000000001</v>
      </c>
      <c r="E6" s="184" t="s">
        <v>1616</v>
      </c>
      <c r="F6" s="209">
        <v>2024</v>
      </c>
      <c r="G6" s="204"/>
      <c r="H6" s="204"/>
      <c r="I6" s="204"/>
      <c r="J6" s="204"/>
      <c r="K6" s="204"/>
      <c r="L6" s="204"/>
      <c r="M6" s="204"/>
      <c r="N6" s="204"/>
      <c r="O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row>
    <row r="7" spans="1:56" ht="14.4" thickTop="1" thickBot="1">
      <c r="A7" s="204"/>
      <c r="B7" s="204"/>
      <c r="C7" s="204"/>
      <c r="D7" s="204"/>
      <c r="E7" s="204"/>
      <c r="F7" s="204"/>
      <c r="G7" s="204"/>
      <c r="H7" s="204"/>
      <c r="I7" s="204"/>
      <c r="J7" s="204"/>
      <c r="K7" s="204"/>
      <c r="L7" s="204"/>
      <c r="M7" s="204"/>
      <c r="N7" s="204"/>
      <c r="O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row>
    <row r="8" spans="1:56" ht="35.25" customHeight="1" thickTop="1" thickBot="1">
      <c r="A8" s="665" t="s">
        <v>1997</v>
      </c>
      <c r="B8" s="666"/>
      <c r="C8" s="666"/>
      <c r="D8" s="666"/>
      <c r="E8" s="666"/>
      <c r="F8" s="666"/>
      <c r="G8" s="666"/>
      <c r="H8" s="666"/>
      <c r="I8" s="666"/>
      <c r="J8" s="666"/>
      <c r="K8" s="666"/>
      <c r="L8" s="667"/>
      <c r="M8" s="188"/>
      <c r="N8" s="204"/>
      <c r="O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row>
    <row r="9" spans="1:56" ht="15" thickTop="1">
      <c r="A9" s="246"/>
      <c r="B9" s="246"/>
      <c r="C9" s="246"/>
      <c r="D9" s="246"/>
      <c r="E9" s="246"/>
      <c r="F9" s="246"/>
      <c r="G9" s="246"/>
      <c r="H9" s="246"/>
      <c r="I9" s="246"/>
      <c r="J9" s="246"/>
      <c r="K9" s="246"/>
      <c r="L9" s="246"/>
      <c r="M9" s="247"/>
      <c r="N9" s="247"/>
      <c r="O9" s="247"/>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row>
    <row r="10" spans="1:56" ht="15.75" customHeight="1">
      <c r="A10" s="669" t="s">
        <v>1618</v>
      </c>
      <c r="B10" s="669"/>
      <c r="C10" s="669"/>
      <c r="D10" s="669"/>
      <c r="E10" s="669"/>
      <c r="F10" s="669"/>
      <c r="G10" s="669"/>
      <c r="H10" s="669"/>
      <c r="I10" s="669"/>
      <c r="J10" s="669"/>
      <c r="K10" s="669"/>
      <c r="L10" s="669"/>
      <c r="M10" s="188"/>
      <c r="N10" s="204"/>
      <c r="O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row>
    <row r="11" spans="1:56" ht="17.25" customHeight="1">
      <c r="A11" s="686" t="s">
        <v>1998</v>
      </c>
      <c r="B11" s="686"/>
      <c r="C11" s="686"/>
      <c r="D11" s="686"/>
      <c r="E11" s="686"/>
      <c r="F11" s="686"/>
      <c r="G11" s="686"/>
      <c r="H11" s="736"/>
      <c r="I11" s="736"/>
      <c r="J11" s="736"/>
      <c r="K11" s="736"/>
      <c r="L11" s="736"/>
      <c r="M11" s="188"/>
      <c r="N11" s="204"/>
      <c r="O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row>
    <row r="12" spans="1:56" ht="40.5" customHeight="1">
      <c r="A12" s="701" t="s">
        <v>1999</v>
      </c>
      <c r="B12" s="737"/>
      <c r="C12" s="737"/>
      <c r="D12" s="737"/>
      <c r="E12" s="737"/>
      <c r="F12" s="737"/>
      <c r="G12" s="737"/>
      <c r="H12" s="738"/>
      <c r="I12" s="738"/>
      <c r="J12" s="738"/>
      <c r="K12" s="738"/>
      <c r="L12" s="738"/>
      <c r="M12" s="248"/>
      <c r="N12" s="204"/>
      <c r="O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row>
    <row r="13" spans="1:56" ht="23.25" customHeight="1">
      <c r="A13" s="668" t="s">
        <v>2000</v>
      </c>
      <c r="B13" s="668"/>
      <c r="C13" s="668"/>
      <c r="D13" s="668"/>
      <c r="E13" s="668"/>
      <c r="F13" s="668"/>
      <c r="G13" s="668"/>
      <c r="H13" s="668"/>
      <c r="I13" s="668"/>
      <c r="J13" s="668"/>
      <c r="K13" s="668"/>
      <c r="L13" s="668"/>
      <c r="M13" s="248"/>
      <c r="N13" s="204" t="s">
        <v>737</v>
      </c>
      <c r="O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row>
    <row r="14" spans="1:56" ht="63" customHeight="1">
      <c r="A14" s="705" t="s">
        <v>2001</v>
      </c>
      <c r="B14" s="737"/>
      <c r="C14" s="737"/>
      <c r="D14" s="737"/>
      <c r="E14" s="737"/>
      <c r="F14" s="737"/>
      <c r="G14" s="737"/>
      <c r="H14" s="737"/>
      <c r="I14" s="737"/>
      <c r="J14" s="737"/>
      <c r="K14" s="737"/>
      <c r="L14" s="737"/>
      <c r="M14" s="248"/>
      <c r="N14" s="668"/>
      <c r="O14" s="668"/>
      <c r="P14" s="668"/>
      <c r="Q14" s="668"/>
      <c r="R14" s="668"/>
      <c r="S14" s="668"/>
      <c r="T14" s="668"/>
      <c r="U14" s="668"/>
      <c r="V14" s="668"/>
      <c r="W14" s="668"/>
      <c r="X14" s="668"/>
      <c r="Y14" s="668"/>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row>
    <row r="15" spans="1:56" ht="64.5" customHeight="1">
      <c r="A15" s="739" t="s">
        <v>2002</v>
      </c>
      <c r="B15" s="739"/>
      <c r="C15" s="739"/>
      <c r="D15" s="739"/>
      <c r="E15" s="739"/>
      <c r="F15" s="739"/>
      <c r="G15" s="739"/>
      <c r="H15" s="740"/>
      <c r="I15" s="740"/>
      <c r="J15" s="740"/>
      <c r="K15" s="740"/>
      <c r="L15" s="740"/>
      <c r="M15" s="248"/>
      <c r="N15" s="190"/>
      <c r="O15" s="190"/>
      <c r="P15" s="190"/>
      <c r="Q15" s="190"/>
      <c r="R15" s="190"/>
      <c r="S15" s="190"/>
      <c r="T15" s="190"/>
      <c r="U15" s="190"/>
      <c r="V15" s="190"/>
      <c r="W15" s="190"/>
      <c r="X15" s="190"/>
      <c r="Y15" s="190"/>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row>
    <row r="16" spans="1:56" s="168" customFormat="1" ht="14.4">
      <c r="A16" s="713" t="s">
        <v>2003</v>
      </c>
      <c r="B16" s="713"/>
      <c r="C16" s="713"/>
      <c r="D16" s="713"/>
      <c r="E16" s="713"/>
      <c r="F16" s="713"/>
      <c r="G16" s="713"/>
      <c r="H16" s="713"/>
      <c r="I16" s="713"/>
      <c r="J16" s="713"/>
      <c r="K16" s="713"/>
      <c r="L16" s="713"/>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row>
    <row r="17" spans="1:56" s="168" customFormat="1" ht="26.1" customHeight="1">
      <c r="A17" s="713" t="s">
        <v>2004</v>
      </c>
      <c r="B17" s="713"/>
      <c r="C17" s="713"/>
      <c r="D17" s="713"/>
      <c r="E17" s="713"/>
      <c r="F17" s="713"/>
      <c r="G17" s="713"/>
      <c r="H17" s="713"/>
      <c r="I17" s="713"/>
      <c r="J17" s="713"/>
      <c r="K17" s="713"/>
      <c r="L17" s="713"/>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row>
    <row r="18" spans="1:56" ht="15.6">
      <c r="A18" s="669" t="s">
        <v>2005</v>
      </c>
      <c r="B18" s="669"/>
      <c r="C18" s="669"/>
      <c r="D18" s="669"/>
      <c r="E18" s="669"/>
      <c r="F18" s="669"/>
      <c r="G18" s="669"/>
      <c r="H18" s="741"/>
      <c r="I18" s="741"/>
      <c r="J18" s="741"/>
      <c r="K18" s="741"/>
      <c r="L18" s="741"/>
      <c r="M18" s="188"/>
      <c r="N18" s="204"/>
      <c r="O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row>
    <row r="19" spans="1:56" ht="14.4">
      <c r="A19" s="668" t="s">
        <v>2006</v>
      </c>
      <c r="B19" s="668"/>
      <c r="C19" s="668"/>
      <c r="D19" s="668"/>
      <c r="E19" s="668"/>
      <c r="F19" s="668"/>
      <c r="G19" s="668"/>
      <c r="H19" s="735"/>
      <c r="I19" s="735"/>
      <c r="J19" s="735"/>
      <c r="K19" s="735"/>
      <c r="L19" s="735"/>
      <c r="M19" s="188"/>
      <c r="N19" s="204"/>
      <c r="O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row>
    <row r="20" spans="1:56" s="204" customFormat="1" ht="36.75" customHeight="1">
      <c r="A20" s="668" t="s">
        <v>2007</v>
      </c>
      <c r="B20" s="668"/>
      <c r="C20" s="668"/>
      <c r="D20" s="668"/>
      <c r="E20" s="668"/>
      <c r="F20" s="668"/>
      <c r="G20" s="668"/>
      <c r="H20" s="735"/>
      <c r="I20" s="735"/>
      <c r="J20" s="735"/>
      <c r="K20" s="735"/>
      <c r="L20" s="735"/>
      <c r="M20" s="188"/>
    </row>
    <row r="21" spans="1:56" s="204" customFormat="1" ht="18" customHeight="1">
      <c r="A21" s="668" t="s">
        <v>2008</v>
      </c>
      <c r="B21" s="668"/>
      <c r="C21" s="668"/>
      <c r="D21" s="668"/>
      <c r="E21" s="668"/>
      <c r="F21" s="668"/>
      <c r="G21" s="668"/>
      <c r="H21" s="735"/>
      <c r="I21" s="735"/>
      <c r="J21" s="735"/>
      <c r="K21" s="735"/>
      <c r="L21" s="735"/>
      <c r="M21" s="188"/>
      <c r="O21" s="249"/>
    </row>
    <row r="22" spans="1:56" s="204" customFormat="1" ht="40.35" customHeight="1">
      <c r="A22" s="668" t="s">
        <v>2009</v>
      </c>
      <c r="B22" s="668"/>
      <c r="C22" s="668"/>
      <c r="D22" s="668"/>
      <c r="E22" s="668"/>
      <c r="F22" s="668"/>
      <c r="G22" s="668"/>
      <c r="H22" s="735"/>
      <c r="I22" s="735"/>
      <c r="J22" s="735"/>
      <c r="K22" s="735"/>
      <c r="L22" s="735"/>
      <c r="M22" s="188"/>
      <c r="N22" s="250"/>
    </row>
    <row r="23" spans="1:56" s="204" customFormat="1" ht="40.950000000000003" customHeight="1">
      <c r="A23" s="190"/>
      <c r="B23" s="190"/>
      <c r="C23" s="190"/>
      <c r="D23" s="215"/>
      <c r="E23" s="215"/>
      <c r="F23" s="251" t="s">
        <v>1945</v>
      </c>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row>
    <row r="24" spans="1:56" s="194" customFormat="1" ht="14.4">
      <c r="D24" s="723" t="s">
        <v>607</v>
      </c>
      <c r="E24" s="723"/>
      <c r="F24" s="723"/>
      <c r="G24" s="723"/>
      <c r="H24" s="723" t="s">
        <v>1946</v>
      </c>
      <c r="I24" s="723"/>
      <c r="J24" s="723"/>
      <c r="K24" s="723"/>
      <c r="L24" s="723" t="s">
        <v>1947</v>
      </c>
      <c r="M24" s="723"/>
      <c r="N24" s="723"/>
      <c r="O24" s="723"/>
      <c r="P24" s="724" t="s">
        <v>1700</v>
      </c>
      <c r="Q24" s="724"/>
      <c r="R24" s="724"/>
      <c r="S24" s="724"/>
      <c r="T24" s="723" t="s">
        <v>1702</v>
      </c>
      <c r="U24" s="723"/>
      <c r="V24" s="723"/>
      <c r="W24" s="723"/>
      <c r="X24" s="723" t="s">
        <v>1948</v>
      </c>
      <c r="Y24" s="723"/>
      <c r="Z24" s="723"/>
      <c r="AA24" s="723"/>
      <c r="AB24" s="723" t="s">
        <v>1949</v>
      </c>
      <c r="AC24" s="723"/>
      <c r="AD24" s="723"/>
      <c r="AE24" s="723"/>
      <c r="AF24" s="723" t="s">
        <v>1950</v>
      </c>
      <c r="AG24" s="723"/>
      <c r="AH24" s="723"/>
      <c r="AI24" s="723"/>
    </row>
    <row r="25" spans="1:56" s="194" customFormat="1" ht="15.6">
      <c r="A25" s="196" t="s">
        <v>1629</v>
      </c>
      <c r="B25" s="196" t="s">
        <v>1771</v>
      </c>
      <c r="C25" s="196" t="s">
        <v>1631</v>
      </c>
      <c r="D25" s="198" t="s">
        <v>1632</v>
      </c>
      <c r="E25" s="198" t="s">
        <v>1903</v>
      </c>
      <c r="F25" s="198" t="s">
        <v>1904</v>
      </c>
      <c r="G25" s="198" t="s">
        <v>1905</v>
      </c>
      <c r="H25" s="198" t="s">
        <v>1632</v>
      </c>
      <c r="I25" s="198" t="s">
        <v>1903</v>
      </c>
      <c r="J25" s="198" t="s">
        <v>1904</v>
      </c>
      <c r="K25" s="198" t="s">
        <v>1905</v>
      </c>
      <c r="L25" s="198" t="s">
        <v>1632</v>
      </c>
      <c r="M25" s="198" t="s">
        <v>1903</v>
      </c>
      <c r="N25" s="198" t="s">
        <v>1904</v>
      </c>
      <c r="O25" s="198" t="s">
        <v>1905</v>
      </c>
      <c r="P25" s="252" t="s">
        <v>1632</v>
      </c>
      <c r="Q25" s="252" t="s">
        <v>1903</v>
      </c>
      <c r="R25" s="252" t="s">
        <v>1904</v>
      </c>
      <c r="S25" s="252" t="s">
        <v>1905</v>
      </c>
      <c r="T25" s="198" t="s">
        <v>1632</v>
      </c>
      <c r="U25" s="198" t="s">
        <v>1903</v>
      </c>
      <c r="V25" s="198" t="s">
        <v>1904</v>
      </c>
      <c r="W25" s="198" t="s">
        <v>1905</v>
      </c>
      <c r="X25" s="198" t="s">
        <v>1632</v>
      </c>
      <c r="Y25" s="198" t="s">
        <v>1903</v>
      </c>
      <c r="Z25" s="198" t="s">
        <v>1904</v>
      </c>
      <c r="AA25" s="198" t="s">
        <v>1905</v>
      </c>
      <c r="AB25" s="198" t="s">
        <v>1632</v>
      </c>
      <c r="AC25" s="198" t="s">
        <v>1903</v>
      </c>
      <c r="AD25" s="198" t="s">
        <v>1904</v>
      </c>
      <c r="AE25" s="198" t="s">
        <v>1905</v>
      </c>
      <c r="AF25" s="198" t="s">
        <v>1632</v>
      </c>
      <c r="AG25" s="198" t="s">
        <v>1903</v>
      </c>
      <c r="AH25" s="198" t="s">
        <v>1904</v>
      </c>
      <c r="AI25" s="198" t="s">
        <v>1905</v>
      </c>
    </row>
    <row r="26" spans="1:56" s="194" customFormat="1" ht="14.4">
      <c r="A26" s="683" t="s">
        <v>1951</v>
      </c>
      <c r="B26" s="664" t="s">
        <v>1952</v>
      </c>
      <c r="C26" s="198" t="s">
        <v>1953</v>
      </c>
      <c r="D26" s="227">
        <v>0.10764</v>
      </c>
      <c r="E26" s="227">
        <v>0.10596999999999999</v>
      </c>
      <c r="F26" s="253">
        <v>4.6368000000000002E-6</v>
      </c>
      <c r="G26" s="227">
        <v>1.67E-3</v>
      </c>
      <c r="H26" s="227">
        <v>0.13086999999999999</v>
      </c>
      <c r="I26" s="227">
        <v>0.13019</v>
      </c>
      <c r="J26" s="227">
        <v>3.6000000000000002E-4</v>
      </c>
      <c r="K26" s="227">
        <v>3.2000000000000003E-4</v>
      </c>
      <c r="L26" s="227"/>
      <c r="M26" s="227"/>
      <c r="N26" s="227"/>
      <c r="O26" s="227"/>
      <c r="P26" s="227"/>
      <c r="Q26" s="227"/>
      <c r="R26" s="227"/>
      <c r="S26" s="227"/>
      <c r="T26" s="227"/>
      <c r="U26" s="227"/>
      <c r="V26" s="227"/>
      <c r="W26" s="227"/>
      <c r="X26" s="227">
        <v>0.13073000000000001</v>
      </c>
      <c r="Y26" s="227">
        <v>0.13003999999999999</v>
      </c>
      <c r="Z26" s="227">
        <v>3.5E-4</v>
      </c>
      <c r="AA26" s="227">
        <v>3.4000000000000002E-4</v>
      </c>
      <c r="AB26" s="227"/>
      <c r="AC26" s="227"/>
      <c r="AD26" s="227"/>
      <c r="AE26" s="227"/>
      <c r="AF26" s="227">
        <v>0</v>
      </c>
      <c r="AG26" s="227">
        <v>0</v>
      </c>
      <c r="AH26" s="227">
        <v>0</v>
      </c>
      <c r="AI26" s="227">
        <v>0</v>
      </c>
      <c r="AJ26" s="215"/>
    </row>
    <row r="27" spans="1:56" s="194" customFormat="1" ht="14.4">
      <c r="A27" s="683"/>
      <c r="B27" s="664"/>
      <c r="C27" s="198" t="s">
        <v>1954</v>
      </c>
      <c r="D27" s="227">
        <v>0.17324999999999999</v>
      </c>
      <c r="E27" s="227">
        <v>0.17055000000000001</v>
      </c>
      <c r="F27" s="227">
        <v>1.0000000000000001E-5</v>
      </c>
      <c r="G27" s="227">
        <v>2.6900000000000001E-3</v>
      </c>
      <c r="H27" s="227">
        <v>0.21060999999999999</v>
      </c>
      <c r="I27" s="227">
        <v>0.20952000000000001</v>
      </c>
      <c r="J27" s="227">
        <v>5.6999999999999998E-4</v>
      </c>
      <c r="K27" s="227">
        <v>5.1999999999999995E-4</v>
      </c>
      <c r="L27" s="227"/>
      <c r="M27" s="227"/>
      <c r="N27" s="227"/>
      <c r="O27" s="227"/>
      <c r="P27" s="227"/>
      <c r="Q27" s="227"/>
      <c r="R27" s="227"/>
      <c r="S27" s="227"/>
      <c r="T27" s="227"/>
      <c r="U27" s="227"/>
      <c r="V27" s="227"/>
      <c r="W27" s="227"/>
      <c r="X27" s="227">
        <v>0.21038000000000001</v>
      </c>
      <c r="Y27" s="227">
        <v>0.20927999999999999</v>
      </c>
      <c r="Z27" s="227">
        <v>5.5999999999999995E-4</v>
      </c>
      <c r="AA27" s="227">
        <v>5.4000000000000001E-4</v>
      </c>
      <c r="AB27" s="227"/>
      <c r="AC27" s="227"/>
      <c r="AD27" s="227"/>
      <c r="AE27" s="227"/>
      <c r="AF27" s="227">
        <v>0</v>
      </c>
      <c r="AG27" s="227">
        <v>0</v>
      </c>
      <c r="AH27" s="227">
        <v>0</v>
      </c>
      <c r="AI27" s="227">
        <v>0</v>
      </c>
      <c r="AJ27" s="215"/>
    </row>
    <row r="28" spans="1:56" s="194" customFormat="1" ht="14.4">
      <c r="A28" s="683"/>
      <c r="B28" s="664" t="s">
        <v>1955</v>
      </c>
      <c r="C28" s="198" t="s">
        <v>1953</v>
      </c>
      <c r="D28" s="227">
        <v>0.13178000000000001</v>
      </c>
      <c r="E28" s="227">
        <v>0.13011</v>
      </c>
      <c r="F28" s="253">
        <v>4.6368000000000002E-6</v>
      </c>
      <c r="G28" s="227">
        <v>1.67E-3</v>
      </c>
      <c r="H28" s="227">
        <v>0.14387</v>
      </c>
      <c r="I28" s="227">
        <v>0.14319000000000001</v>
      </c>
      <c r="J28" s="227">
        <v>3.6000000000000002E-4</v>
      </c>
      <c r="K28" s="227">
        <v>3.2000000000000003E-4</v>
      </c>
      <c r="L28" s="227"/>
      <c r="M28" s="227"/>
      <c r="N28" s="227"/>
      <c r="O28" s="227"/>
      <c r="P28" s="227"/>
      <c r="Q28" s="227"/>
      <c r="R28" s="227"/>
      <c r="S28" s="227"/>
      <c r="T28" s="227"/>
      <c r="U28" s="227"/>
      <c r="V28" s="227"/>
      <c r="W28" s="227"/>
      <c r="X28" s="227">
        <v>0.14255999999999999</v>
      </c>
      <c r="Y28" s="227">
        <v>0.14174</v>
      </c>
      <c r="Z28" s="227">
        <v>2.9999999999999997E-4</v>
      </c>
      <c r="AA28" s="227">
        <v>5.1999999999999995E-4</v>
      </c>
      <c r="AB28" s="227">
        <v>3.0120000000000001E-2</v>
      </c>
      <c r="AC28" s="227">
        <v>2.998E-2</v>
      </c>
      <c r="AD28" s="227">
        <v>8.0000000000000007E-5</v>
      </c>
      <c r="AE28" s="227">
        <v>6.0000000000000002E-5</v>
      </c>
      <c r="AF28" s="227">
        <v>0</v>
      </c>
      <c r="AG28" s="227">
        <v>0</v>
      </c>
      <c r="AH28" s="227">
        <v>0</v>
      </c>
      <c r="AI28" s="227">
        <v>0</v>
      </c>
      <c r="AJ28" s="215"/>
    </row>
    <row r="29" spans="1:56" s="194" customFormat="1" ht="14.4">
      <c r="A29" s="683"/>
      <c r="B29" s="664"/>
      <c r="C29" s="198" t="s">
        <v>1954</v>
      </c>
      <c r="D29" s="227">
        <v>0.21209</v>
      </c>
      <c r="E29" s="227">
        <v>0.20938999999999999</v>
      </c>
      <c r="F29" s="227">
        <v>1.0000000000000001E-5</v>
      </c>
      <c r="G29" s="227">
        <v>2.6900000000000001E-3</v>
      </c>
      <c r="H29" s="227">
        <v>0.23153000000000001</v>
      </c>
      <c r="I29" s="227">
        <v>0.23044000000000001</v>
      </c>
      <c r="J29" s="227">
        <v>5.6999999999999998E-4</v>
      </c>
      <c r="K29" s="227">
        <v>5.1999999999999995E-4</v>
      </c>
      <c r="L29" s="227"/>
      <c r="M29" s="227"/>
      <c r="N29" s="227"/>
      <c r="O29" s="227"/>
      <c r="P29" s="227"/>
      <c r="Q29" s="227"/>
      <c r="R29" s="227"/>
      <c r="S29" s="227"/>
      <c r="T29" s="227"/>
      <c r="U29" s="227"/>
      <c r="V29" s="227"/>
      <c r="W29" s="227"/>
      <c r="X29" s="227">
        <v>0.22942000000000001</v>
      </c>
      <c r="Y29" s="227">
        <v>0.2281</v>
      </c>
      <c r="Z29" s="227">
        <v>4.8000000000000001E-4</v>
      </c>
      <c r="AA29" s="227">
        <v>8.4000000000000003E-4</v>
      </c>
      <c r="AB29" s="227">
        <v>4.8480000000000002E-2</v>
      </c>
      <c r="AC29" s="227">
        <v>4.8250000000000001E-2</v>
      </c>
      <c r="AD29" s="227">
        <v>1.2999999999999999E-4</v>
      </c>
      <c r="AE29" s="227">
        <v>1E-4</v>
      </c>
      <c r="AF29" s="227">
        <v>0</v>
      </c>
      <c r="AG29" s="227">
        <v>0</v>
      </c>
      <c r="AH29" s="227">
        <v>0</v>
      </c>
      <c r="AI29" s="227">
        <v>0</v>
      </c>
      <c r="AJ29" s="215"/>
    </row>
    <row r="30" spans="1:56" s="194" customFormat="1" ht="14.4">
      <c r="A30" s="683"/>
      <c r="B30" s="664" t="s">
        <v>1956</v>
      </c>
      <c r="C30" s="198" t="s">
        <v>1953</v>
      </c>
      <c r="D30" s="227">
        <v>0.14288000000000001</v>
      </c>
      <c r="E30" s="227">
        <v>0.14121</v>
      </c>
      <c r="F30" s="253">
        <v>4.6368000000000002E-6</v>
      </c>
      <c r="G30" s="227">
        <v>1.67E-3</v>
      </c>
      <c r="H30" s="227">
        <v>0.16392000000000001</v>
      </c>
      <c r="I30" s="227">
        <v>0.16324</v>
      </c>
      <c r="J30" s="227">
        <v>3.6000000000000002E-4</v>
      </c>
      <c r="K30" s="227">
        <v>3.2000000000000003E-4</v>
      </c>
      <c r="L30" s="227"/>
      <c r="M30" s="227"/>
      <c r="N30" s="227"/>
      <c r="O30" s="227"/>
      <c r="P30" s="227"/>
      <c r="Q30" s="227"/>
      <c r="R30" s="227"/>
      <c r="S30" s="227"/>
      <c r="T30" s="227"/>
      <c r="U30" s="227"/>
      <c r="V30" s="227"/>
      <c r="W30" s="227"/>
      <c r="X30" s="227">
        <v>0.15504000000000001</v>
      </c>
      <c r="Y30" s="227">
        <v>0.15386</v>
      </c>
      <c r="Z30" s="227">
        <v>1.8000000000000001E-4</v>
      </c>
      <c r="AA30" s="227">
        <v>1E-3</v>
      </c>
      <c r="AB30" s="227">
        <v>7.7630000000000005E-2</v>
      </c>
      <c r="AC30" s="227">
        <v>7.7200000000000005E-2</v>
      </c>
      <c r="AD30" s="227">
        <v>2.5000000000000001E-4</v>
      </c>
      <c r="AE30" s="227">
        <v>1.8000000000000001E-4</v>
      </c>
      <c r="AF30" s="227">
        <v>0</v>
      </c>
      <c r="AG30" s="227">
        <v>0</v>
      </c>
      <c r="AH30" s="227">
        <v>0</v>
      </c>
      <c r="AI30" s="227">
        <v>0</v>
      </c>
      <c r="AJ30" s="215"/>
    </row>
    <row r="31" spans="1:56" s="194" customFormat="1" ht="14.4">
      <c r="A31" s="683"/>
      <c r="B31" s="664"/>
      <c r="C31" s="198" t="s">
        <v>1954</v>
      </c>
      <c r="D31" s="227">
        <v>0.22996</v>
      </c>
      <c r="E31" s="227">
        <v>0.22725999999999999</v>
      </c>
      <c r="F31" s="227">
        <v>1.0000000000000001E-5</v>
      </c>
      <c r="G31" s="227">
        <v>2.6900000000000001E-3</v>
      </c>
      <c r="H31" s="227">
        <v>0.26379999999999998</v>
      </c>
      <c r="I31" s="227">
        <v>0.26271</v>
      </c>
      <c r="J31" s="227">
        <v>5.6999999999999998E-4</v>
      </c>
      <c r="K31" s="227">
        <v>5.1999999999999995E-4</v>
      </c>
      <c r="L31" s="227"/>
      <c r="M31" s="227"/>
      <c r="N31" s="227"/>
      <c r="O31" s="227"/>
      <c r="P31" s="227"/>
      <c r="Q31" s="227"/>
      <c r="R31" s="227"/>
      <c r="S31" s="227"/>
      <c r="T31" s="227"/>
      <c r="U31" s="227"/>
      <c r="V31" s="227"/>
      <c r="W31" s="227"/>
      <c r="X31" s="227">
        <v>0.24951000000000001</v>
      </c>
      <c r="Y31" s="227">
        <v>0.24762000000000001</v>
      </c>
      <c r="Z31" s="227">
        <v>2.9E-4</v>
      </c>
      <c r="AA31" s="227">
        <v>1.6000000000000001E-3</v>
      </c>
      <c r="AB31" s="227">
        <v>0.12493</v>
      </c>
      <c r="AC31" s="227">
        <v>0.12424</v>
      </c>
      <c r="AD31" s="227">
        <v>4.0000000000000002E-4</v>
      </c>
      <c r="AE31" s="227">
        <v>2.9E-4</v>
      </c>
      <c r="AF31" s="227">
        <v>0</v>
      </c>
      <c r="AG31" s="227">
        <v>0</v>
      </c>
      <c r="AH31" s="227">
        <v>0</v>
      </c>
      <c r="AI31" s="227">
        <v>0</v>
      </c>
      <c r="AJ31" s="215"/>
    </row>
    <row r="32" spans="1:56" s="194" customFormat="1" ht="14.4">
      <c r="A32" s="683"/>
      <c r="B32" s="664" t="s">
        <v>1957</v>
      </c>
      <c r="C32" s="198" t="s">
        <v>1953</v>
      </c>
      <c r="D32" s="227">
        <v>0.16048000000000001</v>
      </c>
      <c r="E32" s="227">
        <v>0.15881000000000001</v>
      </c>
      <c r="F32" s="253">
        <v>4.6368000000000002E-6</v>
      </c>
      <c r="G32" s="227">
        <v>1.67E-3</v>
      </c>
      <c r="H32" s="227">
        <v>0.18953</v>
      </c>
      <c r="I32" s="227">
        <v>0.18884999999999999</v>
      </c>
      <c r="J32" s="227">
        <v>3.6000000000000002E-4</v>
      </c>
      <c r="K32" s="227">
        <v>3.2000000000000003E-4</v>
      </c>
      <c r="L32" s="227"/>
      <c r="M32" s="227"/>
      <c r="N32" s="227"/>
      <c r="O32" s="227"/>
      <c r="P32" s="227"/>
      <c r="Q32" s="227"/>
      <c r="R32" s="227"/>
      <c r="S32" s="227"/>
      <c r="T32" s="227"/>
      <c r="U32" s="227"/>
      <c r="V32" s="227"/>
      <c r="W32" s="227"/>
      <c r="X32" s="227">
        <v>0.16763</v>
      </c>
      <c r="Y32" s="227">
        <v>0.16616</v>
      </c>
      <c r="Z32" s="227">
        <v>8.0000000000000007E-5</v>
      </c>
      <c r="AA32" s="227">
        <v>1.39E-3</v>
      </c>
      <c r="AB32" s="227">
        <v>8.4750000000000006E-2</v>
      </c>
      <c r="AC32" s="227">
        <v>8.4290000000000004E-2</v>
      </c>
      <c r="AD32" s="227">
        <v>2.5999999999999998E-4</v>
      </c>
      <c r="AE32" s="227">
        <v>2.0000000000000001E-4</v>
      </c>
      <c r="AF32" s="227">
        <v>0</v>
      </c>
      <c r="AG32" s="227">
        <v>0</v>
      </c>
      <c r="AH32" s="227">
        <v>0</v>
      </c>
      <c r="AI32" s="227">
        <v>0</v>
      </c>
      <c r="AJ32" s="215"/>
    </row>
    <row r="33" spans="1:36" s="194" customFormat="1" ht="14.4">
      <c r="A33" s="683"/>
      <c r="B33" s="664"/>
      <c r="C33" s="198" t="s">
        <v>1954</v>
      </c>
      <c r="D33" s="227">
        <v>0.25827</v>
      </c>
      <c r="E33" s="227">
        <v>0.25557000000000002</v>
      </c>
      <c r="F33" s="227">
        <v>1.0000000000000001E-5</v>
      </c>
      <c r="G33" s="227">
        <v>2.6900000000000001E-3</v>
      </c>
      <c r="H33" s="227">
        <v>0.30501</v>
      </c>
      <c r="I33" s="227">
        <v>0.30392000000000002</v>
      </c>
      <c r="J33" s="227">
        <v>5.6999999999999998E-4</v>
      </c>
      <c r="K33" s="227">
        <v>5.1999999999999995E-4</v>
      </c>
      <c r="L33" s="227"/>
      <c r="M33" s="227"/>
      <c r="N33" s="227"/>
      <c r="O33" s="227"/>
      <c r="P33" s="227"/>
      <c r="Q33" s="227"/>
      <c r="R33" s="227"/>
      <c r="S33" s="227"/>
      <c r="T33" s="227"/>
      <c r="U33" s="227"/>
      <c r="V33" s="227"/>
      <c r="W33" s="227"/>
      <c r="X33" s="227">
        <v>0.26974999999999999</v>
      </c>
      <c r="Y33" s="227">
        <v>0.26740999999999998</v>
      </c>
      <c r="Z33" s="227">
        <v>1.2E-4</v>
      </c>
      <c r="AA33" s="227">
        <v>2.2200000000000002E-3</v>
      </c>
      <c r="AB33" s="227">
        <v>0.13639999999999999</v>
      </c>
      <c r="AC33" s="227">
        <v>0.13564999999999999</v>
      </c>
      <c r="AD33" s="227">
        <v>4.0999999999999999E-4</v>
      </c>
      <c r="AE33" s="227">
        <v>3.4000000000000002E-4</v>
      </c>
      <c r="AF33" s="227">
        <v>0</v>
      </c>
      <c r="AG33" s="227">
        <v>0</v>
      </c>
      <c r="AH33" s="227">
        <v>0</v>
      </c>
      <c r="AI33" s="227">
        <v>0</v>
      </c>
      <c r="AJ33" s="215"/>
    </row>
    <row r="34" spans="1:36" s="194" customFormat="1" ht="14.4">
      <c r="A34" s="683"/>
      <c r="B34" s="664" t="s">
        <v>1958</v>
      </c>
      <c r="C34" s="198" t="s">
        <v>1953</v>
      </c>
      <c r="D34" s="227">
        <v>0.17000999999999999</v>
      </c>
      <c r="E34" s="227">
        <v>0.16833999999999999</v>
      </c>
      <c r="F34" s="253">
        <v>4.6368000000000002E-6</v>
      </c>
      <c r="G34" s="227">
        <v>1.67E-3</v>
      </c>
      <c r="H34" s="227">
        <v>0.20816999999999999</v>
      </c>
      <c r="I34" s="227">
        <v>0.20749000000000001</v>
      </c>
      <c r="J34" s="227">
        <v>3.6000000000000002E-4</v>
      </c>
      <c r="K34" s="227">
        <v>3.2000000000000003E-4</v>
      </c>
      <c r="L34" s="227"/>
      <c r="M34" s="227"/>
      <c r="N34" s="227"/>
      <c r="O34" s="227"/>
      <c r="P34" s="227"/>
      <c r="Q34" s="227"/>
      <c r="R34" s="227"/>
      <c r="S34" s="227"/>
      <c r="T34" s="227"/>
      <c r="U34" s="227"/>
      <c r="V34" s="227"/>
      <c r="W34" s="227"/>
      <c r="X34" s="227">
        <v>0.17929</v>
      </c>
      <c r="Y34" s="227">
        <v>0.17785000000000001</v>
      </c>
      <c r="Z34" s="227">
        <v>9.0000000000000006E-5</v>
      </c>
      <c r="AA34" s="227">
        <v>1.3500000000000001E-3</v>
      </c>
      <c r="AB34" s="227">
        <v>8.5989999999999997E-2</v>
      </c>
      <c r="AC34" s="227">
        <v>8.5500000000000007E-2</v>
      </c>
      <c r="AD34" s="227">
        <v>2.5000000000000001E-4</v>
      </c>
      <c r="AE34" s="227">
        <v>2.4000000000000001E-4</v>
      </c>
      <c r="AF34" s="227">
        <v>0</v>
      </c>
      <c r="AG34" s="227">
        <v>0</v>
      </c>
      <c r="AH34" s="227">
        <v>0</v>
      </c>
      <c r="AI34" s="227">
        <v>0</v>
      </c>
      <c r="AJ34" s="215"/>
    </row>
    <row r="35" spans="1:36" s="194" customFormat="1" ht="14.4">
      <c r="A35" s="683"/>
      <c r="B35" s="664"/>
      <c r="C35" s="198" t="s">
        <v>1954</v>
      </c>
      <c r="D35" s="227">
        <v>0.27361999999999997</v>
      </c>
      <c r="E35" s="227">
        <v>0.27091999999999999</v>
      </c>
      <c r="F35" s="227">
        <v>1.0000000000000001E-5</v>
      </c>
      <c r="G35" s="227">
        <v>2.6900000000000001E-3</v>
      </c>
      <c r="H35" s="227">
        <v>0.33500999999999997</v>
      </c>
      <c r="I35" s="227">
        <v>0.33391999999999999</v>
      </c>
      <c r="J35" s="227">
        <v>5.6999999999999998E-4</v>
      </c>
      <c r="K35" s="227">
        <v>5.1999999999999995E-4</v>
      </c>
      <c r="L35" s="227"/>
      <c r="M35" s="227"/>
      <c r="N35" s="227"/>
      <c r="O35" s="227"/>
      <c r="P35" s="227"/>
      <c r="Q35" s="227"/>
      <c r="R35" s="227"/>
      <c r="S35" s="227"/>
      <c r="T35" s="227"/>
      <c r="U35" s="227"/>
      <c r="V35" s="227"/>
      <c r="W35" s="227"/>
      <c r="X35" s="227">
        <v>0.28854999999999997</v>
      </c>
      <c r="Y35" s="227">
        <v>0.28621999999999997</v>
      </c>
      <c r="Z35" s="227">
        <v>1.4999999999999999E-4</v>
      </c>
      <c r="AA35" s="227">
        <v>2.1800000000000001E-3</v>
      </c>
      <c r="AB35" s="227">
        <v>0.13836999999999999</v>
      </c>
      <c r="AC35" s="227">
        <v>0.13758999999999999</v>
      </c>
      <c r="AD35" s="227">
        <v>4.0000000000000002E-4</v>
      </c>
      <c r="AE35" s="227">
        <v>3.8000000000000002E-4</v>
      </c>
      <c r="AF35" s="227">
        <v>0</v>
      </c>
      <c r="AG35" s="227">
        <v>0</v>
      </c>
      <c r="AH35" s="227">
        <v>0</v>
      </c>
      <c r="AI35" s="227">
        <v>0</v>
      </c>
      <c r="AJ35" s="215"/>
    </row>
    <row r="36" spans="1:36" s="194" customFormat="1" ht="14.4">
      <c r="A36" s="683"/>
      <c r="B36" s="664" t="s">
        <v>1959</v>
      </c>
      <c r="C36" s="198" t="s">
        <v>1953</v>
      </c>
      <c r="D36" s="227">
        <v>0.20695</v>
      </c>
      <c r="E36" s="227">
        <v>0.20527999999999999</v>
      </c>
      <c r="F36" s="253">
        <v>4.6368000000000002E-6</v>
      </c>
      <c r="G36" s="227">
        <v>1.67E-3</v>
      </c>
      <c r="H36" s="227">
        <v>0.31949</v>
      </c>
      <c r="I36" s="227">
        <v>0.31880999999999998</v>
      </c>
      <c r="J36" s="227">
        <v>3.6000000000000002E-4</v>
      </c>
      <c r="K36" s="227">
        <v>3.2000000000000003E-4</v>
      </c>
      <c r="L36" s="227"/>
      <c r="M36" s="227"/>
      <c r="N36" s="227"/>
      <c r="O36" s="227"/>
      <c r="P36" s="227"/>
      <c r="Q36" s="227"/>
      <c r="R36" s="227"/>
      <c r="S36" s="227"/>
      <c r="T36" s="227"/>
      <c r="U36" s="227"/>
      <c r="V36" s="227"/>
      <c r="W36" s="227"/>
      <c r="X36" s="227">
        <v>0.25824999999999998</v>
      </c>
      <c r="Y36" s="227">
        <v>0.25705</v>
      </c>
      <c r="Z36" s="227">
        <v>1.7000000000000001E-4</v>
      </c>
      <c r="AA36" s="227">
        <v>1.0300000000000001E-3</v>
      </c>
      <c r="AB36" s="227">
        <v>0.12075</v>
      </c>
      <c r="AC36" s="227">
        <v>0.12015000000000001</v>
      </c>
      <c r="AD36" s="227">
        <v>3.5E-4</v>
      </c>
      <c r="AE36" s="227">
        <v>2.5000000000000001E-4</v>
      </c>
      <c r="AF36" s="227">
        <v>0</v>
      </c>
      <c r="AG36" s="227">
        <v>0</v>
      </c>
      <c r="AH36" s="227">
        <v>0</v>
      </c>
      <c r="AI36" s="227">
        <v>0</v>
      </c>
      <c r="AJ36" s="215"/>
    </row>
    <row r="37" spans="1:36" s="194" customFormat="1" ht="14.4">
      <c r="A37" s="683"/>
      <c r="B37" s="664"/>
      <c r="C37" s="198" t="s">
        <v>1954</v>
      </c>
      <c r="D37" s="227">
        <v>0.33306000000000002</v>
      </c>
      <c r="E37" s="227">
        <v>0.33035999999999999</v>
      </c>
      <c r="F37" s="227">
        <v>1.0000000000000001E-5</v>
      </c>
      <c r="G37" s="227">
        <v>2.6900000000000001E-3</v>
      </c>
      <c r="H37" s="227">
        <v>0.51417000000000002</v>
      </c>
      <c r="I37" s="227">
        <v>0.51307999999999998</v>
      </c>
      <c r="J37" s="227">
        <v>5.6999999999999998E-4</v>
      </c>
      <c r="K37" s="227">
        <v>5.1999999999999995E-4</v>
      </c>
      <c r="L37" s="227"/>
      <c r="M37" s="227"/>
      <c r="N37" s="227"/>
      <c r="O37" s="227"/>
      <c r="P37" s="227"/>
      <c r="Q37" s="227"/>
      <c r="R37" s="227"/>
      <c r="S37" s="227"/>
      <c r="T37" s="227"/>
      <c r="U37" s="227"/>
      <c r="V37" s="227"/>
      <c r="W37" s="227"/>
      <c r="X37" s="227">
        <v>0.41561999999999999</v>
      </c>
      <c r="Y37" s="227">
        <v>0.41367999999999999</v>
      </c>
      <c r="Z37" s="227">
        <v>2.7999999999999998E-4</v>
      </c>
      <c r="AA37" s="227">
        <v>1.66E-3</v>
      </c>
      <c r="AB37" s="227">
        <v>0.19431000000000001</v>
      </c>
      <c r="AC37" s="227">
        <v>0.19336</v>
      </c>
      <c r="AD37" s="227">
        <v>5.5000000000000003E-4</v>
      </c>
      <c r="AE37" s="227">
        <v>4.0000000000000002E-4</v>
      </c>
      <c r="AF37" s="227">
        <v>0</v>
      </c>
      <c r="AG37" s="227">
        <v>0</v>
      </c>
      <c r="AH37" s="227">
        <v>0</v>
      </c>
      <c r="AI37" s="227">
        <v>0</v>
      </c>
      <c r="AJ37" s="215"/>
    </row>
    <row r="38" spans="1:36" s="194" customFormat="1" ht="14.4">
      <c r="A38" s="683"/>
      <c r="B38" s="664" t="s">
        <v>1960</v>
      </c>
      <c r="C38" s="198" t="s">
        <v>1953</v>
      </c>
      <c r="D38" s="227">
        <v>0.17016000000000001</v>
      </c>
      <c r="E38" s="227">
        <v>0.16849</v>
      </c>
      <c r="F38" s="253">
        <v>4.6368000000000002E-6</v>
      </c>
      <c r="G38" s="227">
        <v>1.67E-3</v>
      </c>
      <c r="H38" s="227">
        <v>0.23535</v>
      </c>
      <c r="I38" s="227">
        <v>0.23466999999999999</v>
      </c>
      <c r="J38" s="227">
        <v>3.6000000000000002E-4</v>
      </c>
      <c r="K38" s="227">
        <v>3.2000000000000003E-4</v>
      </c>
      <c r="L38" s="227"/>
      <c r="M38" s="227"/>
      <c r="N38" s="227"/>
      <c r="O38" s="227"/>
      <c r="P38" s="227"/>
      <c r="Q38" s="227"/>
      <c r="R38" s="227"/>
      <c r="S38" s="227"/>
      <c r="T38" s="227"/>
      <c r="U38" s="227"/>
      <c r="V38" s="227"/>
      <c r="W38" s="227"/>
      <c r="X38" s="227">
        <v>0.22519</v>
      </c>
      <c r="Y38" s="227">
        <v>0.22436</v>
      </c>
      <c r="Z38" s="227">
        <v>2.9999999999999997E-4</v>
      </c>
      <c r="AA38" s="227">
        <v>5.2999999999999998E-4</v>
      </c>
      <c r="AB38" s="227">
        <v>0.12259</v>
      </c>
      <c r="AC38" s="227">
        <v>0.12211</v>
      </c>
      <c r="AD38" s="227">
        <v>2.7999999999999998E-4</v>
      </c>
      <c r="AE38" s="227">
        <v>2.0000000000000001E-4</v>
      </c>
      <c r="AF38" s="227">
        <v>0</v>
      </c>
      <c r="AG38" s="227">
        <v>0</v>
      </c>
      <c r="AH38" s="227">
        <v>0</v>
      </c>
      <c r="AI38" s="227">
        <v>0</v>
      </c>
      <c r="AJ38" s="215"/>
    </row>
    <row r="39" spans="1:36" s="194" customFormat="1" ht="14.4">
      <c r="A39" s="683"/>
      <c r="B39" s="664"/>
      <c r="C39" s="198" t="s">
        <v>1954</v>
      </c>
      <c r="D39" s="227">
        <v>0.27387</v>
      </c>
      <c r="E39" s="227">
        <v>0.27117000000000002</v>
      </c>
      <c r="F39" s="227">
        <v>1.0000000000000001E-5</v>
      </c>
      <c r="G39" s="227">
        <v>2.6900000000000001E-3</v>
      </c>
      <c r="H39" s="227">
        <v>0.37874999999999998</v>
      </c>
      <c r="I39" s="227">
        <v>0.37766</v>
      </c>
      <c r="J39" s="227">
        <v>5.6999999999999998E-4</v>
      </c>
      <c r="K39" s="227">
        <v>5.1999999999999995E-4</v>
      </c>
      <c r="L39" s="227"/>
      <c r="M39" s="227"/>
      <c r="N39" s="227"/>
      <c r="O39" s="227"/>
      <c r="P39" s="227"/>
      <c r="Q39" s="227"/>
      <c r="R39" s="227"/>
      <c r="S39" s="227"/>
      <c r="T39" s="227"/>
      <c r="U39" s="227"/>
      <c r="V39" s="227"/>
      <c r="W39" s="227"/>
      <c r="X39" s="227">
        <v>0.36241000000000001</v>
      </c>
      <c r="Y39" s="227">
        <v>0.36107</v>
      </c>
      <c r="Z39" s="227">
        <v>4.8000000000000001E-4</v>
      </c>
      <c r="AA39" s="227">
        <v>8.5999999999999998E-4</v>
      </c>
      <c r="AB39" s="227">
        <v>0.19728999999999999</v>
      </c>
      <c r="AC39" s="227">
        <v>0.19650999999999999</v>
      </c>
      <c r="AD39" s="227">
        <v>4.4999999999999999E-4</v>
      </c>
      <c r="AE39" s="227">
        <v>3.3E-4</v>
      </c>
      <c r="AF39" s="227">
        <v>0</v>
      </c>
      <c r="AG39" s="227">
        <v>0</v>
      </c>
      <c r="AH39" s="227">
        <v>0</v>
      </c>
      <c r="AI39" s="227">
        <v>0</v>
      </c>
      <c r="AJ39" s="215"/>
    </row>
    <row r="40" spans="1:36" s="194" customFormat="1" ht="14.4">
      <c r="A40" s="683"/>
      <c r="B40" s="664" t="s">
        <v>1961</v>
      </c>
      <c r="C40" s="198" t="s">
        <v>1953</v>
      </c>
      <c r="D40" s="227">
        <v>0.19757</v>
      </c>
      <c r="E40" s="227">
        <v>0.19589999999999999</v>
      </c>
      <c r="F40" s="253">
        <v>4.6368000000000002E-6</v>
      </c>
      <c r="G40" s="227">
        <v>1.67E-3</v>
      </c>
      <c r="H40" s="227">
        <v>0.19625999999999999</v>
      </c>
      <c r="I40" s="227">
        <v>0.19558</v>
      </c>
      <c r="J40" s="227">
        <v>3.6000000000000002E-4</v>
      </c>
      <c r="K40" s="227">
        <v>3.2000000000000003E-4</v>
      </c>
      <c r="L40" s="227"/>
      <c r="M40" s="227"/>
      <c r="N40" s="227"/>
      <c r="O40" s="227"/>
      <c r="P40" s="227"/>
      <c r="Q40" s="227"/>
      <c r="R40" s="227"/>
      <c r="S40" s="227"/>
      <c r="T40" s="227"/>
      <c r="U40" s="227"/>
      <c r="V40" s="227"/>
      <c r="W40" s="227"/>
      <c r="X40" s="227">
        <v>0.19721</v>
      </c>
      <c r="Y40" s="227">
        <v>0.19578999999999999</v>
      </c>
      <c r="Z40" s="227">
        <v>1E-4</v>
      </c>
      <c r="AA40" s="227">
        <v>1.32E-3</v>
      </c>
      <c r="AB40" s="227">
        <v>0.10532999999999999</v>
      </c>
      <c r="AC40" s="227">
        <v>0.10484</v>
      </c>
      <c r="AD40" s="227">
        <v>2.7999999999999998E-4</v>
      </c>
      <c r="AE40" s="227">
        <v>2.1000000000000001E-4</v>
      </c>
      <c r="AF40" s="227">
        <v>0</v>
      </c>
      <c r="AG40" s="227">
        <v>0</v>
      </c>
      <c r="AH40" s="227">
        <v>0</v>
      </c>
      <c r="AI40" s="227">
        <v>0</v>
      </c>
      <c r="AJ40" s="215"/>
    </row>
    <row r="41" spans="1:36" s="194" customFormat="1" ht="14.4">
      <c r="A41" s="683"/>
      <c r="B41" s="664"/>
      <c r="C41" s="198" t="s">
        <v>1954</v>
      </c>
      <c r="D41" s="227">
        <v>0.31796999999999997</v>
      </c>
      <c r="E41" s="227">
        <v>0.31526999999999999</v>
      </c>
      <c r="F41" s="227">
        <v>1.0000000000000001E-5</v>
      </c>
      <c r="G41" s="227">
        <v>2.6900000000000001E-3</v>
      </c>
      <c r="H41" s="227">
        <v>0.31585000000000002</v>
      </c>
      <c r="I41" s="227">
        <v>0.31475999999999998</v>
      </c>
      <c r="J41" s="227">
        <v>5.6999999999999998E-4</v>
      </c>
      <c r="K41" s="227">
        <v>5.1999999999999995E-4</v>
      </c>
      <c r="L41" s="227"/>
      <c r="M41" s="227"/>
      <c r="N41" s="227"/>
      <c r="O41" s="227"/>
      <c r="P41" s="227"/>
      <c r="Q41" s="227"/>
      <c r="R41" s="227"/>
      <c r="S41" s="227"/>
      <c r="T41" s="227"/>
      <c r="U41" s="227"/>
      <c r="V41" s="227"/>
      <c r="W41" s="227"/>
      <c r="X41" s="227">
        <v>0.31736999999999999</v>
      </c>
      <c r="Y41" s="227">
        <v>0.31508999999999998</v>
      </c>
      <c r="Z41" s="227">
        <v>1.6000000000000001E-4</v>
      </c>
      <c r="AA41" s="227">
        <v>2.1199999999999999E-3</v>
      </c>
      <c r="AB41" s="227">
        <v>0.16952</v>
      </c>
      <c r="AC41" s="227">
        <v>0.16872999999999999</v>
      </c>
      <c r="AD41" s="227">
        <v>4.4999999999999999E-4</v>
      </c>
      <c r="AE41" s="227">
        <v>3.4000000000000002E-4</v>
      </c>
      <c r="AF41" s="227">
        <v>0</v>
      </c>
      <c r="AG41" s="227">
        <v>0</v>
      </c>
      <c r="AH41" s="227">
        <v>0</v>
      </c>
      <c r="AI41" s="227">
        <v>0</v>
      </c>
      <c r="AJ41" s="215"/>
    </row>
    <row r="42" spans="1:36" s="194" customFormat="1" ht="14.4">
      <c r="A42" s="683"/>
      <c r="B42" s="664" t="s">
        <v>1962</v>
      </c>
      <c r="C42" s="198" t="s">
        <v>1953</v>
      </c>
      <c r="D42" s="227">
        <v>0.17751</v>
      </c>
      <c r="E42" s="227">
        <v>0.17584</v>
      </c>
      <c r="F42" s="253">
        <v>4.6368000000000002E-6</v>
      </c>
      <c r="G42" s="227">
        <v>1.67E-3</v>
      </c>
      <c r="H42" s="227">
        <v>0.18287</v>
      </c>
      <c r="I42" s="227">
        <v>0.18218999999999999</v>
      </c>
      <c r="J42" s="227">
        <v>3.6000000000000002E-4</v>
      </c>
      <c r="K42" s="227">
        <v>3.2000000000000003E-4</v>
      </c>
      <c r="L42" s="227"/>
      <c r="M42" s="227"/>
      <c r="N42" s="227"/>
      <c r="O42" s="227"/>
      <c r="P42" s="227"/>
      <c r="Q42" s="227"/>
      <c r="R42" s="227"/>
      <c r="S42" s="227"/>
      <c r="T42" s="227"/>
      <c r="U42" s="227"/>
      <c r="V42" s="227"/>
      <c r="W42" s="227"/>
      <c r="X42" s="227">
        <v>0.17891000000000001</v>
      </c>
      <c r="Y42" s="227">
        <v>0.17749000000000001</v>
      </c>
      <c r="Z42" s="227">
        <v>1E-4</v>
      </c>
      <c r="AA42" s="227">
        <v>1.32E-3</v>
      </c>
      <c r="AB42" s="227">
        <v>8.0180000000000001E-2</v>
      </c>
      <c r="AC42" s="227">
        <v>7.9850000000000004E-2</v>
      </c>
      <c r="AD42" s="227">
        <v>1.9000000000000001E-4</v>
      </c>
      <c r="AE42" s="227">
        <v>1.3999999999999999E-4</v>
      </c>
      <c r="AF42" s="227">
        <v>0</v>
      </c>
      <c r="AG42" s="227">
        <v>0</v>
      </c>
      <c r="AH42" s="227">
        <v>0</v>
      </c>
      <c r="AI42" s="227">
        <v>0</v>
      </c>
      <c r="AJ42" s="215"/>
    </row>
    <row r="43" spans="1:36" s="194" customFormat="1" ht="14.4">
      <c r="A43" s="683"/>
      <c r="B43" s="664"/>
      <c r="C43" s="198" t="s">
        <v>1954</v>
      </c>
      <c r="D43" s="227">
        <v>0.28569</v>
      </c>
      <c r="E43" s="227">
        <v>0.28299000000000002</v>
      </c>
      <c r="F43" s="227">
        <v>1.0000000000000001E-5</v>
      </c>
      <c r="G43" s="227">
        <v>2.6900000000000001E-3</v>
      </c>
      <c r="H43" s="227">
        <v>0.29430000000000001</v>
      </c>
      <c r="I43" s="227">
        <v>0.29321000000000003</v>
      </c>
      <c r="J43" s="227">
        <v>5.6999999999999998E-4</v>
      </c>
      <c r="K43" s="227">
        <v>5.1999999999999995E-4</v>
      </c>
      <c r="L43" s="227"/>
      <c r="M43" s="227"/>
      <c r="N43" s="227"/>
      <c r="O43" s="227"/>
      <c r="P43" s="227"/>
      <c r="Q43" s="227"/>
      <c r="R43" s="227"/>
      <c r="S43" s="227"/>
      <c r="T43" s="227"/>
      <c r="U43" s="227"/>
      <c r="V43" s="227"/>
      <c r="W43" s="227"/>
      <c r="X43" s="227">
        <v>0.28793000000000002</v>
      </c>
      <c r="Y43" s="227">
        <v>0.28565000000000002</v>
      </c>
      <c r="Z43" s="227">
        <v>1.6000000000000001E-4</v>
      </c>
      <c r="AA43" s="227">
        <v>2.1199999999999999E-3</v>
      </c>
      <c r="AB43" s="227">
        <v>0.12903999999999999</v>
      </c>
      <c r="AC43" s="227">
        <v>0.12851000000000001</v>
      </c>
      <c r="AD43" s="227">
        <v>3.1E-4</v>
      </c>
      <c r="AE43" s="227">
        <v>2.2000000000000001E-4</v>
      </c>
      <c r="AF43" s="227">
        <v>0</v>
      </c>
      <c r="AG43" s="227">
        <v>0</v>
      </c>
      <c r="AH43" s="227">
        <v>0</v>
      </c>
      <c r="AI43" s="227">
        <v>0</v>
      </c>
      <c r="AJ43" s="215"/>
    </row>
    <row r="44" spans="1:36" s="194" customFormat="1" ht="14.4">
      <c r="P44" s="223"/>
      <c r="Q44" s="223"/>
      <c r="R44" s="223"/>
      <c r="S44" s="223"/>
    </row>
    <row r="45" spans="1:36" s="194" customFormat="1" ht="14.4">
      <c r="D45" s="215"/>
      <c r="E45" s="215"/>
      <c r="F45" s="251" t="s">
        <v>1945</v>
      </c>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row>
    <row r="46" spans="1:36" s="194" customFormat="1" ht="14.4">
      <c r="D46" s="723" t="s">
        <v>607</v>
      </c>
      <c r="E46" s="723"/>
      <c r="F46" s="723"/>
      <c r="G46" s="723"/>
      <c r="H46" s="723" t="s">
        <v>1946</v>
      </c>
      <c r="I46" s="723"/>
      <c r="J46" s="723"/>
      <c r="K46" s="723"/>
      <c r="L46" s="723" t="s">
        <v>1947</v>
      </c>
      <c r="M46" s="723"/>
      <c r="N46" s="723"/>
      <c r="O46" s="723"/>
      <c r="P46" s="724" t="s">
        <v>1700</v>
      </c>
      <c r="Q46" s="724"/>
      <c r="R46" s="724"/>
      <c r="S46" s="724"/>
      <c r="T46" s="723" t="s">
        <v>1702</v>
      </c>
      <c r="U46" s="723"/>
      <c r="V46" s="723"/>
      <c r="W46" s="723"/>
      <c r="X46" s="723" t="s">
        <v>1948</v>
      </c>
      <c r="Y46" s="723"/>
      <c r="Z46" s="723"/>
      <c r="AA46" s="723"/>
      <c r="AB46" s="723" t="s">
        <v>1949</v>
      </c>
      <c r="AC46" s="723"/>
      <c r="AD46" s="723"/>
      <c r="AE46" s="723"/>
      <c r="AF46" s="723" t="s">
        <v>1950</v>
      </c>
      <c r="AG46" s="723"/>
      <c r="AH46" s="723"/>
      <c r="AI46" s="723"/>
      <c r="AJ46" s="215"/>
    </row>
    <row r="47" spans="1:36" s="194" customFormat="1" ht="15.6">
      <c r="A47" s="196" t="s">
        <v>1629</v>
      </c>
      <c r="B47" s="196" t="s">
        <v>1771</v>
      </c>
      <c r="C47" s="196" t="s">
        <v>1631</v>
      </c>
      <c r="D47" s="198" t="s">
        <v>1632</v>
      </c>
      <c r="E47" s="198" t="s">
        <v>1903</v>
      </c>
      <c r="F47" s="198" t="s">
        <v>1904</v>
      </c>
      <c r="G47" s="198" t="s">
        <v>1905</v>
      </c>
      <c r="H47" s="198" t="s">
        <v>1632</v>
      </c>
      <c r="I47" s="198" t="s">
        <v>1903</v>
      </c>
      <c r="J47" s="198" t="s">
        <v>1904</v>
      </c>
      <c r="K47" s="198" t="s">
        <v>1905</v>
      </c>
      <c r="L47" s="198" t="s">
        <v>1632</v>
      </c>
      <c r="M47" s="198" t="s">
        <v>1903</v>
      </c>
      <c r="N47" s="198" t="s">
        <v>1904</v>
      </c>
      <c r="O47" s="198" t="s">
        <v>1905</v>
      </c>
      <c r="P47" s="252" t="s">
        <v>1632</v>
      </c>
      <c r="Q47" s="252" t="s">
        <v>1903</v>
      </c>
      <c r="R47" s="252" t="s">
        <v>1904</v>
      </c>
      <c r="S47" s="252" t="s">
        <v>1905</v>
      </c>
      <c r="T47" s="198" t="s">
        <v>1632</v>
      </c>
      <c r="U47" s="198" t="s">
        <v>1903</v>
      </c>
      <c r="V47" s="198" t="s">
        <v>1904</v>
      </c>
      <c r="W47" s="198" t="s">
        <v>1905</v>
      </c>
      <c r="X47" s="198" t="s">
        <v>1632</v>
      </c>
      <c r="Y47" s="198" t="s">
        <v>1903</v>
      </c>
      <c r="Z47" s="198" t="s">
        <v>1904</v>
      </c>
      <c r="AA47" s="198" t="s">
        <v>1905</v>
      </c>
      <c r="AB47" s="198" t="s">
        <v>1632</v>
      </c>
      <c r="AC47" s="198" t="s">
        <v>1903</v>
      </c>
      <c r="AD47" s="198" t="s">
        <v>1904</v>
      </c>
      <c r="AE47" s="198" t="s">
        <v>1905</v>
      </c>
      <c r="AF47" s="198" t="s">
        <v>1632</v>
      </c>
      <c r="AG47" s="198" t="s">
        <v>1903</v>
      </c>
      <c r="AH47" s="198" t="s">
        <v>1904</v>
      </c>
      <c r="AI47" s="198" t="s">
        <v>1905</v>
      </c>
      <c r="AJ47" s="215"/>
    </row>
    <row r="48" spans="1:36" s="194" customFormat="1" ht="14.4">
      <c r="A48" s="664" t="s">
        <v>1963</v>
      </c>
      <c r="B48" s="664" t="s">
        <v>1964</v>
      </c>
      <c r="C48" s="198" t="s">
        <v>1953</v>
      </c>
      <c r="D48" s="227">
        <v>0.13994000000000001</v>
      </c>
      <c r="E48" s="227">
        <v>0.13827</v>
      </c>
      <c r="F48" s="253">
        <v>4.6368000000000002E-6</v>
      </c>
      <c r="G48" s="227">
        <v>1.67E-3</v>
      </c>
      <c r="H48" s="227">
        <v>0.14369999999999999</v>
      </c>
      <c r="I48" s="227">
        <v>0.14302000000000001</v>
      </c>
      <c r="J48" s="227">
        <v>3.6000000000000002E-4</v>
      </c>
      <c r="K48" s="227">
        <v>3.2000000000000003E-4</v>
      </c>
      <c r="L48" s="227">
        <v>0.11274000000000001</v>
      </c>
      <c r="M48" s="227">
        <v>0.11173</v>
      </c>
      <c r="N48" s="227">
        <v>2.4000000000000001E-4</v>
      </c>
      <c r="O48" s="227">
        <v>7.6999999999999996E-4</v>
      </c>
      <c r="P48" s="254"/>
      <c r="Q48" s="254"/>
      <c r="R48" s="254"/>
      <c r="S48" s="254"/>
      <c r="T48" s="254"/>
      <c r="U48" s="254"/>
      <c r="V48" s="254"/>
      <c r="W48" s="254"/>
      <c r="X48" s="227">
        <v>0.14262</v>
      </c>
      <c r="Y48" s="227">
        <v>0.14161000000000001</v>
      </c>
      <c r="Z48" s="227">
        <v>2.4000000000000001E-4</v>
      </c>
      <c r="AA48" s="227">
        <v>7.6999999999999996E-4</v>
      </c>
      <c r="AB48" s="227">
        <v>3.0120000000000001E-2</v>
      </c>
      <c r="AC48" s="227">
        <v>2.998E-2</v>
      </c>
      <c r="AD48" s="227">
        <v>8.0000000000000007E-5</v>
      </c>
      <c r="AE48" s="227">
        <v>6.0000000000000002E-5</v>
      </c>
      <c r="AF48" s="255">
        <v>0</v>
      </c>
      <c r="AG48" s="255">
        <v>0</v>
      </c>
      <c r="AH48" s="255">
        <v>0</v>
      </c>
      <c r="AI48" s="255">
        <v>0</v>
      </c>
      <c r="AJ48" s="215"/>
    </row>
    <row r="49" spans="1:36" s="194" customFormat="1" ht="14.4">
      <c r="A49" s="664"/>
      <c r="B49" s="664"/>
      <c r="C49" s="198" t="s">
        <v>1954</v>
      </c>
      <c r="D49" s="227">
        <v>0.22522</v>
      </c>
      <c r="E49" s="227">
        <v>0.22252</v>
      </c>
      <c r="F49" s="227">
        <v>1.0000000000000001E-5</v>
      </c>
      <c r="G49" s="227">
        <v>2.6900000000000001E-3</v>
      </c>
      <c r="H49" s="227">
        <v>0.23125999999999999</v>
      </c>
      <c r="I49" s="227">
        <v>0.23017000000000001</v>
      </c>
      <c r="J49" s="227">
        <v>5.6999999999999998E-4</v>
      </c>
      <c r="K49" s="227">
        <v>5.1999999999999995E-4</v>
      </c>
      <c r="L49" s="227">
        <v>0.18143000000000001</v>
      </c>
      <c r="M49" s="227">
        <v>0.17981</v>
      </c>
      <c r="N49" s="227">
        <v>3.8000000000000002E-4</v>
      </c>
      <c r="O49" s="227">
        <v>1.24E-3</v>
      </c>
      <c r="P49" s="254"/>
      <c r="Q49" s="254"/>
      <c r="R49" s="254"/>
      <c r="S49" s="254"/>
      <c r="T49" s="254"/>
      <c r="U49" s="254"/>
      <c r="V49" s="254"/>
      <c r="W49" s="254"/>
      <c r="X49" s="227">
        <v>0.22953000000000001</v>
      </c>
      <c r="Y49" s="227">
        <v>0.22791</v>
      </c>
      <c r="Z49" s="227">
        <v>3.8000000000000002E-4</v>
      </c>
      <c r="AA49" s="227">
        <v>1.24E-3</v>
      </c>
      <c r="AB49" s="227">
        <v>4.8480000000000002E-2</v>
      </c>
      <c r="AC49" s="227">
        <v>4.8250000000000001E-2</v>
      </c>
      <c r="AD49" s="227">
        <v>1.2999999999999999E-4</v>
      </c>
      <c r="AE49" s="227">
        <v>1E-4</v>
      </c>
      <c r="AF49" s="255">
        <v>0</v>
      </c>
      <c r="AG49" s="255">
        <v>0</v>
      </c>
      <c r="AH49" s="255">
        <v>0</v>
      </c>
      <c r="AI49" s="255">
        <v>0</v>
      </c>
      <c r="AJ49" s="215"/>
    </row>
    <row r="50" spans="1:36" s="194" customFormat="1" ht="14.4">
      <c r="A50" s="664"/>
      <c r="B50" s="664" t="s">
        <v>1965</v>
      </c>
      <c r="C50" s="198" t="s">
        <v>1953</v>
      </c>
      <c r="D50" s="227">
        <v>0.16807</v>
      </c>
      <c r="E50" s="227">
        <v>0.16639999999999999</v>
      </c>
      <c r="F50" s="253">
        <v>4.6368000000000002E-6</v>
      </c>
      <c r="G50" s="227">
        <v>1.67E-3</v>
      </c>
      <c r="H50" s="227">
        <v>0.17726</v>
      </c>
      <c r="I50" s="227">
        <v>0.17657999999999999</v>
      </c>
      <c r="J50" s="227">
        <v>3.6000000000000002E-4</v>
      </c>
      <c r="K50" s="227">
        <v>3.2000000000000003E-4</v>
      </c>
      <c r="L50" s="227">
        <v>0.1149</v>
      </c>
      <c r="M50" s="227">
        <v>0.11369</v>
      </c>
      <c r="N50" s="227">
        <v>1.7000000000000001E-4</v>
      </c>
      <c r="O50" s="227">
        <v>1.0399999999999999E-3</v>
      </c>
      <c r="P50" s="227">
        <v>0.15681999999999999</v>
      </c>
      <c r="Q50" s="227">
        <v>0.15468999999999999</v>
      </c>
      <c r="R50" s="227">
        <v>1.7700000000000001E-3</v>
      </c>
      <c r="S50" s="227">
        <v>3.6000000000000002E-4</v>
      </c>
      <c r="T50" s="227">
        <v>0.17634</v>
      </c>
      <c r="U50" s="227">
        <v>0.17591999999999999</v>
      </c>
      <c r="V50" s="227">
        <v>6.0000000000000002E-5</v>
      </c>
      <c r="W50" s="227">
        <v>3.6000000000000002E-4</v>
      </c>
      <c r="X50" s="227">
        <v>0.17255999999999999</v>
      </c>
      <c r="Y50" s="227">
        <v>0.17135</v>
      </c>
      <c r="Z50" s="227">
        <v>1.7000000000000001E-4</v>
      </c>
      <c r="AA50" s="227">
        <v>1.0399999999999999E-3</v>
      </c>
      <c r="AB50" s="227">
        <v>8.1199999999999994E-2</v>
      </c>
      <c r="AC50" s="227">
        <v>8.0750000000000002E-2</v>
      </c>
      <c r="AD50" s="227">
        <v>2.5000000000000001E-4</v>
      </c>
      <c r="AE50" s="227">
        <v>2.0000000000000001E-4</v>
      </c>
      <c r="AF50" s="255">
        <v>0</v>
      </c>
      <c r="AG50" s="255">
        <v>0</v>
      </c>
      <c r="AH50" s="255">
        <v>0</v>
      </c>
      <c r="AI50" s="255">
        <v>0</v>
      </c>
      <c r="AJ50" s="215"/>
    </row>
    <row r="51" spans="1:36" s="194" customFormat="1" ht="14.4">
      <c r="A51" s="664"/>
      <c r="B51" s="664"/>
      <c r="C51" s="198" t="s">
        <v>1954</v>
      </c>
      <c r="D51" s="227">
        <v>0.27050000000000002</v>
      </c>
      <c r="E51" s="227">
        <v>0.26779999999999998</v>
      </c>
      <c r="F51" s="227">
        <v>1.0000000000000001E-5</v>
      </c>
      <c r="G51" s="227">
        <v>2.6900000000000001E-3</v>
      </c>
      <c r="H51" s="227">
        <v>0.28526000000000001</v>
      </c>
      <c r="I51" s="227">
        <v>0.28416999999999998</v>
      </c>
      <c r="J51" s="227">
        <v>5.6999999999999998E-4</v>
      </c>
      <c r="K51" s="227">
        <v>5.1999999999999995E-4</v>
      </c>
      <c r="L51" s="227">
        <v>0.18492</v>
      </c>
      <c r="M51" s="227">
        <v>0.18296999999999999</v>
      </c>
      <c r="N51" s="227">
        <v>2.7E-4</v>
      </c>
      <c r="O51" s="227">
        <v>1.6800000000000001E-3</v>
      </c>
      <c r="P51" s="227">
        <v>0.25237999999999999</v>
      </c>
      <c r="Q51" s="227">
        <v>0.24893999999999999</v>
      </c>
      <c r="R51" s="227">
        <v>2.8600000000000001E-3</v>
      </c>
      <c r="S51" s="227">
        <v>5.8E-4</v>
      </c>
      <c r="T51" s="227">
        <v>0.28377999999999998</v>
      </c>
      <c r="U51" s="227">
        <v>0.28310999999999997</v>
      </c>
      <c r="V51" s="227">
        <v>9.0000000000000006E-5</v>
      </c>
      <c r="W51" s="227">
        <v>5.8E-4</v>
      </c>
      <c r="X51" s="227">
        <v>0.27771000000000001</v>
      </c>
      <c r="Y51" s="227">
        <v>0.27576000000000001</v>
      </c>
      <c r="Z51" s="227">
        <v>2.7E-4</v>
      </c>
      <c r="AA51" s="227">
        <v>1.6800000000000001E-3</v>
      </c>
      <c r="AB51" s="227">
        <v>0.13066</v>
      </c>
      <c r="AC51" s="227">
        <v>0.12995000000000001</v>
      </c>
      <c r="AD51" s="227">
        <v>4.0000000000000002E-4</v>
      </c>
      <c r="AE51" s="227">
        <v>3.1E-4</v>
      </c>
      <c r="AF51" s="255">
        <v>0</v>
      </c>
      <c r="AG51" s="255">
        <v>0</v>
      </c>
      <c r="AH51" s="255">
        <v>0</v>
      </c>
      <c r="AI51" s="255">
        <v>0</v>
      </c>
      <c r="AJ51" s="215"/>
    </row>
    <row r="52" spans="1:36" s="194" customFormat="1" ht="14.4">
      <c r="A52" s="664"/>
      <c r="B52" s="664" t="s">
        <v>1966</v>
      </c>
      <c r="C52" s="198" t="s">
        <v>1953</v>
      </c>
      <c r="D52" s="227">
        <v>0.20729</v>
      </c>
      <c r="E52" s="227">
        <v>0.20562</v>
      </c>
      <c r="F52" s="253">
        <v>4.6368000000000002E-6</v>
      </c>
      <c r="G52" s="227">
        <v>1.67E-3</v>
      </c>
      <c r="H52" s="227">
        <v>0.26884999999999998</v>
      </c>
      <c r="I52" s="227">
        <v>0.26817000000000002</v>
      </c>
      <c r="J52" s="227">
        <v>3.6000000000000002E-4</v>
      </c>
      <c r="K52" s="227">
        <v>3.2000000000000003E-4</v>
      </c>
      <c r="L52" s="227">
        <v>0.15486</v>
      </c>
      <c r="M52" s="227">
        <v>0.15343000000000001</v>
      </c>
      <c r="N52" s="227">
        <v>1E-4</v>
      </c>
      <c r="O52" s="227">
        <v>1.33E-3</v>
      </c>
      <c r="P52" s="227">
        <v>0.23705000000000001</v>
      </c>
      <c r="Q52" s="227">
        <v>0.23491999999999999</v>
      </c>
      <c r="R52" s="227">
        <v>1.7700000000000001E-3</v>
      </c>
      <c r="S52" s="227">
        <v>3.6000000000000002E-4</v>
      </c>
      <c r="T52" s="227">
        <v>0.26758999999999999</v>
      </c>
      <c r="U52" s="227">
        <v>0.26717000000000002</v>
      </c>
      <c r="V52" s="227">
        <v>6.0000000000000002E-5</v>
      </c>
      <c r="W52" s="227">
        <v>3.6000000000000002E-4</v>
      </c>
      <c r="X52" s="227">
        <v>0.22472</v>
      </c>
      <c r="Y52" s="227">
        <v>0.22328999999999999</v>
      </c>
      <c r="Z52" s="227">
        <v>1E-4</v>
      </c>
      <c r="AA52" s="227">
        <v>1.33E-3</v>
      </c>
      <c r="AB52" s="227">
        <v>0.10306</v>
      </c>
      <c r="AC52" s="227">
        <v>0.10256</v>
      </c>
      <c r="AD52" s="227">
        <v>2.7999999999999998E-4</v>
      </c>
      <c r="AE52" s="227">
        <v>2.2000000000000001E-4</v>
      </c>
      <c r="AF52" s="255">
        <v>0</v>
      </c>
      <c r="AG52" s="255">
        <v>0</v>
      </c>
      <c r="AH52" s="255">
        <v>0</v>
      </c>
      <c r="AI52" s="255">
        <v>0</v>
      </c>
      <c r="AJ52" s="215"/>
    </row>
    <row r="53" spans="1:36" s="194" customFormat="1" ht="14.4">
      <c r="A53" s="664"/>
      <c r="B53" s="664"/>
      <c r="C53" s="198" t="s">
        <v>1954</v>
      </c>
      <c r="D53" s="227">
        <v>0.33362000000000003</v>
      </c>
      <c r="E53" s="227">
        <v>0.33091999999999999</v>
      </c>
      <c r="F53" s="227">
        <v>1.0000000000000001E-5</v>
      </c>
      <c r="G53" s="227">
        <v>2.6900000000000001E-3</v>
      </c>
      <c r="H53" s="227">
        <v>0.43267</v>
      </c>
      <c r="I53" s="227">
        <v>0.43158000000000002</v>
      </c>
      <c r="J53" s="227">
        <v>5.6999999999999998E-4</v>
      </c>
      <c r="K53" s="227">
        <v>5.1999999999999995E-4</v>
      </c>
      <c r="L53" s="227">
        <v>0.24920999999999999</v>
      </c>
      <c r="M53" s="227">
        <v>0.24692</v>
      </c>
      <c r="N53" s="227">
        <v>1.6000000000000001E-4</v>
      </c>
      <c r="O53" s="227">
        <v>2.1299999999999999E-3</v>
      </c>
      <c r="P53" s="227">
        <v>0.38151000000000002</v>
      </c>
      <c r="Q53" s="227">
        <v>0.37807000000000002</v>
      </c>
      <c r="R53" s="227">
        <v>2.8600000000000001E-3</v>
      </c>
      <c r="S53" s="227">
        <v>5.8E-4</v>
      </c>
      <c r="T53" s="227">
        <v>0.43064000000000002</v>
      </c>
      <c r="U53" s="227">
        <v>0.42997000000000002</v>
      </c>
      <c r="V53" s="227">
        <v>9.0000000000000006E-5</v>
      </c>
      <c r="W53" s="227">
        <v>5.8E-4</v>
      </c>
      <c r="X53" s="227">
        <v>0.36164000000000002</v>
      </c>
      <c r="Y53" s="227">
        <v>0.35935</v>
      </c>
      <c r="Z53" s="227">
        <v>1.6000000000000001E-4</v>
      </c>
      <c r="AA53" s="227">
        <v>2.1299999999999999E-3</v>
      </c>
      <c r="AB53" s="227">
        <v>0.16586999999999999</v>
      </c>
      <c r="AC53" s="227">
        <v>0.16506000000000001</v>
      </c>
      <c r="AD53" s="227">
        <v>4.4999999999999999E-4</v>
      </c>
      <c r="AE53" s="227">
        <v>3.6000000000000002E-4</v>
      </c>
      <c r="AF53" s="255">
        <v>0</v>
      </c>
      <c r="AG53" s="255">
        <v>0</v>
      </c>
      <c r="AH53" s="255">
        <v>0</v>
      </c>
      <c r="AI53" s="255">
        <v>0</v>
      </c>
      <c r="AJ53" s="215"/>
    </row>
    <row r="54" spans="1:36" s="194" customFormat="1" ht="14.4">
      <c r="A54" s="664"/>
      <c r="B54" s="664" t="s">
        <v>1967</v>
      </c>
      <c r="C54" s="198" t="s">
        <v>1953</v>
      </c>
      <c r="D54" s="227">
        <v>0.16983999999999999</v>
      </c>
      <c r="E54" s="227">
        <v>0.16816999999999999</v>
      </c>
      <c r="F54" s="253">
        <v>4.6368000000000002E-6</v>
      </c>
      <c r="G54" s="227">
        <v>1.67E-3</v>
      </c>
      <c r="H54" s="227">
        <v>0.16450000000000001</v>
      </c>
      <c r="I54" s="227">
        <v>0.16381999999999999</v>
      </c>
      <c r="J54" s="227">
        <v>3.6000000000000002E-4</v>
      </c>
      <c r="K54" s="227">
        <v>3.2000000000000003E-4</v>
      </c>
      <c r="L54" s="227">
        <v>0.12606999999999999</v>
      </c>
      <c r="M54" s="227">
        <v>0.1249</v>
      </c>
      <c r="N54" s="227">
        <v>1.9000000000000001E-4</v>
      </c>
      <c r="O54" s="227">
        <v>9.7999999999999997E-4</v>
      </c>
      <c r="P54" s="227">
        <v>0.17513999999999999</v>
      </c>
      <c r="Q54" s="227">
        <v>0.17301</v>
      </c>
      <c r="R54" s="227">
        <v>1.7700000000000001E-3</v>
      </c>
      <c r="S54" s="227">
        <v>3.6000000000000002E-4</v>
      </c>
      <c r="T54" s="227">
        <v>0.19717999999999999</v>
      </c>
      <c r="U54" s="227">
        <v>0.19675999999999999</v>
      </c>
      <c r="V54" s="227">
        <v>6.0000000000000002E-5</v>
      </c>
      <c r="W54" s="227">
        <v>3.6000000000000002E-4</v>
      </c>
      <c r="X54" s="227">
        <v>0.16691</v>
      </c>
      <c r="Y54" s="227">
        <v>0.16574</v>
      </c>
      <c r="Z54" s="227">
        <v>1.9000000000000001E-4</v>
      </c>
      <c r="AA54" s="227">
        <v>9.7999999999999997E-4</v>
      </c>
      <c r="AB54" s="227">
        <v>9.3600000000000003E-2</v>
      </c>
      <c r="AC54" s="227">
        <v>9.3140000000000001E-2</v>
      </c>
      <c r="AD54" s="227">
        <v>2.5999999999999998E-4</v>
      </c>
      <c r="AE54" s="227">
        <v>2.0000000000000001E-4</v>
      </c>
      <c r="AF54" s="255">
        <v>0</v>
      </c>
      <c r="AG54" s="255">
        <v>0</v>
      </c>
      <c r="AH54" s="255">
        <v>0</v>
      </c>
      <c r="AI54" s="255">
        <v>0</v>
      </c>
      <c r="AJ54" s="215"/>
    </row>
    <row r="55" spans="1:36" s="194" customFormat="1" ht="14.4">
      <c r="A55" s="664"/>
      <c r="B55" s="664"/>
      <c r="C55" s="198" t="s">
        <v>1954</v>
      </c>
      <c r="D55" s="227">
        <v>0.27334000000000003</v>
      </c>
      <c r="E55" s="227">
        <v>0.27063999999999999</v>
      </c>
      <c r="F55" s="227">
        <v>1.0000000000000001E-5</v>
      </c>
      <c r="G55" s="227">
        <v>2.6900000000000001E-3</v>
      </c>
      <c r="H55" s="227">
        <v>0.26473000000000002</v>
      </c>
      <c r="I55" s="227">
        <v>0.26363999999999999</v>
      </c>
      <c r="J55" s="227">
        <v>5.6999999999999998E-4</v>
      </c>
      <c r="K55" s="227">
        <v>5.1999999999999995E-4</v>
      </c>
      <c r="L55" s="227">
        <v>0.20288</v>
      </c>
      <c r="M55" s="227">
        <v>0.20100999999999999</v>
      </c>
      <c r="N55" s="227">
        <v>2.9999999999999997E-4</v>
      </c>
      <c r="O55" s="227">
        <v>1.57E-3</v>
      </c>
      <c r="P55" s="227">
        <v>0.28187000000000001</v>
      </c>
      <c r="Q55" s="227">
        <v>0.27843000000000001</v>
      </c>
      <c r="R55" s="227">
        <v>2.8600000000000001E-3</v>
      </c>
      <c r="S55" s="227">
        <v>5.8E-4</v>
      </c>
      <c r="T55" s="227">
        <v>0.31731999999999999</v>
      </c>
      <c r="U55" s="227">
        <v>0.31664999999999999</v>
      </c>
      <c r="V55" s="227">
        <v>9.0000000000000006E-5</v>
      </c>
      <c r="W55" s="227">
        <v>5.8E-4</v>
      </c>
      <c r="X55" s="227">
        <v>0.26860000000000001</v>
      </c>
      <c r="Y55" s="227">
        <v>0.26673000000000002</v>
      </c>
      <c r="Z55" s="227">
        <v>2.9999999999999997E-4</v>
      </c>
      <c r="AA55" s="227">
        <v>1.57E-3</v>
      </c>
      <c r="AB55" s="227">
        <v>0.15062</v>
      </c>
      <c r="AC55" s="227">
        <v>0.14989</v>
      </c>
      <c r="AD55" s="227">
        <v>4.0999999999999999E-4</v>
      </c>
      <c r="AE55" s="227">
        <v>3.2000000000000003E-4</v>
      </c>
      <c r="AF55" s="255">
        <v>0</v>
      </c>
      <c r="AG55" s="255">
        <v>0</v>
      </c>
      <c r="AH55" s="255">
        <v>0</v>
      </c>
      <c r="AI55" s="255">
        <v>0</v>
      </c>
      <c r="AJ55" s="215"/>
    </row>
    <row r="56" spans="1:36" s="194" customFormat="1" ht="14.4">
      <c r="AJ56" s="215"/>
    </row>
    <row r="57" spans="1:36" s="194" customFormat="1" ht="14.4">
      <c r="AJ57" s="215"/>
    </row>
    <row r="58" spans="1:36" s="194" customFormat="1" ht="14.4">
      <c r="AJ58" s="215"/>
    </row>
    <row r="59" spans="1:36" s="194" customFormat="1" ht="15.6">
      <c r="A59" s="196" t="s">
        <v>1629</v>
      </c>
      <c r="B59" s="196" t="s">
        <v>1771</v>
      </c>
      <c r="C59" s="196" t="s">
        <v>1631</v>
      </c>
      <c r="D59" s="198" t="s">
        <v>1632</v>
      </c>
      <c r="E59" s="198" t="s">
        <v>1903</v>
      </c>
      <c r="F59" s="198" t="s">
        <v>1904</v>
      </c>
      <c r="G59" s="198" t="s">
        <v>1905</v>
      </c>
      <c r="AJ59" s="215"/>
    </row>
    <row r="60" spans="1:36" s="194" customFormat="1" ht="14.4">
      <c r="A60" s="664" t="s">
        <v>1968</v>
      </c>
      <c r="B60" s="664" t="s">
        <v>1969</v>
      </c>
      <c r="C60" s="198" t="s">
        <v>1953</v>
      </c>
      <c r="D60" s="256">
        <v>8.319E-2</v>
      </c>
      <c r="E60" s="227">
        <v>8.0939999999999998E-2</v>
      </c>
      <c r="F60" s="227">
        <v>1.75E-3</v>
      </c>
      <c r="G60" s="227">
        <v>5.0000000000000001E-4</v>
      </c>
      <c r="AJ60" s="215"/>
    </row>
    <row r="61" spans="1:36" s="194" customFormat="1" ht="14.4">
      <c r="A61" s="664"/>
      <c r="B61" s="664"/>
      <c r="C61" s="198" t="s">
        <v>1954</v>
      </c>
      <c r="D61" s="256">
        <v>0.13388999999999998</v>
      </c>
      <c r="E61" s="227">
        <v>0.13027</v>
      </c>
      <c r="F61" s="227">
        <v>2.82E-3</v>
      </c>
      <c r="G61" s="227">
        <v>8.0000000000000004E-4</v>
      </c>
      <c r="AJ61" s="215"/>
    </row>
    <row r="62" spans="1:36" s="194" customFormat="1" ht="14.4">
      <c r="A62" s="664"/>
      <c r="B62" s="664" t="s">
        <v>1970</v>
      </c>
      <c r="C62" s="198" t="s">
        <v>1953</v>
      </c>
      <c r="D62" s="256">
        <v>0.10107000000000001</v>
      </c>
      <c r="E62" s="227">
        <v>9.826E-2</v>
      </c>
      <c r="F62" s="227">
        <v>2.2799999999999999E-3</v>
      </c>
      <c r="G62" s="227">
        <v>5.2999999999999998E-4</v>
      </c>
      <c r="AJ62" s="215"/>
    </row>
    <row r="63" spans="1:36" s="194" customFormat="1" ht="14.4">
      <c r="A63" s="664"/>
      <c r="B63" s="664"/>
      <c r="C63" s="198" t="s">
        <v>1954</v>
      </c>
      <c r="D63" s="256">
        <v>0.16264999999999999</v>
      </c>
      <c r="E63" s="227">
        <v>0.15812999999999999</v>
      </c>
      <c r="F63" s="227">
        <v>3.6700000000000001E-3</v>
      </c>
      <c r="G63" s="227">
        <v>8.4999999999999995E-4</v>
      </c>
      <c r="AJ63" s="215"/>
    </row>
    <row r="64" spans="1:36" s="194" customFormat="1" ht="14.4">
      <c r="A64" s="664"/>
      <c r="B64" s="664" t="s">
        <v>1971</v>
      </c>
      <c r="C64" s="198" t="s">
        <v>1953</v>
      </c>
      <c r="D64" s="256">
        <v>0.13252</v>
      </c>
      <c r="E64" s="227">
        <v>0.13072</v>
      </c>
      <c r="F64" s="227">
        <v>1.2700000000000001E-3</v>
      </c>
      <c r="G64" s="227">
        <v>5.2999999999999998E-4</v>
      </c>
      <c r="AJ64" s="215"/>
    </row>
    <row r="65" spans="1:36" s="194" customFormat="1" ht="14.4">
      <c r="A65" s="664"/>
      <c r="B65" s="664"/>
      <c r="C65" s="198" t="s">
        <v>1954</v>
      </c>
      <c r="D65" s="256">
        <v>0.21325999999999998</v>
      </c>
      <c r="E65" s="227">
        <v>0.21037</v>
      </c>
      <c r="F65" s="227">
        <v>2.0400000000000001E-3</v>
      </c>
      <c r="G65" s="227">
        <v>8.4999999999999995E-4</v>
      </c>
      <c r="AJ65" s="215"/>
    </row>
    <row r="66" spans="1:36" s="194" customFormat="1" ht="14.4">
      <c r="A66" s="664"/>
      <c r="B66" s="664" t="s">
        <v>1972</v>
      </c>
      <c r="C66" s="198" t="s">
        <v>1953</v>
      </c>
      <c r="D66" s="256">
        <v>0.11367000000000001</v>
      </c>
      <c r="E66" s="227">
        <v>0.11138000000000001</v>
      </c>
      <c r="F66" s="227">
        <v>1.7700000000000001E-3</v>
      </c>
      <c r="G66" s="227">
        <v>5.1999999999999995E-4</v>
      </c>
      <c r="AJ66" s="215"/>
    </row>
    <row r="67" spans="1:36" s="194" customFormat="1" ht="14.4">
      <c r="A67" s="664"/>
      <c r="B67" s="664"/>
      <c r="C67" s="198" t="s">
        <v>1954</v>
      </c>
      <c r="D67" s="256">
        <v>0.18293000000000001</v>
      </c>
      <c r="E67" s="227">
        <v>0.17924999999999999</v>
      </c>
      <c r="F67" s="227">
        <v>2.8400000000000001E-3</v>
      </c>
      <c r="G67" s="227">
        <v>8.4000000000000003E-4</v>
      </c>
      <c r="AJ67" s="215"/>
    </row>
    <row r="68" spans="1:36" s="194" customFormat="1" ht="14.4">
      <c r="A68" s="257"/>
      <c r="B68" s="257"/>
      <c r="C68" s="257"/>
      <c r="D68" s="257"/>
      <c r="E68" s="257"/>
      <c r="F68" s="257"/>
      <c r="G68" s="257"/>
      <c r="H68" s="257"/>
      <c r="I68" s="257"/>
      <c r="J68" s="257"/>
      <c r="K68" s="257"/>
      <c r="L68" s="257"/>
    </row>
    <row r="69" spans="1:36" s="194" customFormat="1" ht="14.4">
      <c r="A69" s="257"/>
      <c r="B69" s="257"/>
      <c r="C69" s="257"/>
      <c r="D69" s="257"/>
      <c r="E69" s="257"/>
      <c r="F69" s="257"/>
      <c r="G69" s="257"/>
      <c r="H69" s="257"/>
      <c r="I69" s="257"/>
      <c r="J69" s="257"/>
      <c r="K69" s="257"/>
      <c r="L69" s="257"/>
    </row>
    <row r="70" spans="1:36" s="204" customFormat="1" ht="15.6">
      <c r="A70" s="258" t="s">
        <v>1682</v>
      </c>
      <c r="B70" s="259"/>
      <c r="C70" s="259"/>
      <c r="D70" s="259"/>
      <c r="E70" s="259"/>
      <c r="F70" s="259"/>
      <c r="G70" s="259"/>
      <c r="H70" s="259"/>
      <c r="I70" s="259"/>
      <c r="J70" s="259"/>
      <c r="K70" s="259"/>
      <c r="L70" s="259"/>
      <c r="M70" s="260"/>
      <c r="N70" s="260"/>
      <c r="O70" s="260"/>
    </row>
    <row r="71" spans="1:36" s="204" customFormat="1" ht="21" customHeight="1">
      <c r="A71" s="673" t="s">
        <v>2010</v>
      </c>
      <c r="B71" s="673"/>
      <c r="C71" s="673"/>
      <c r="D71" s="673"/>
      <c r="E71" s="673"/>
      <c r="F71" s="673"/>
      <c r="G71" s="673"/>
      <c r="H71" s="673"/>
      <c r="I71" s="673"/>
      <c r="J71" s="673"/>
      <c r="K71" s="673"/>
      <c r="L71" s="673"/>
      <c r="M71" s="673"/>
      <c r="N71" s="260"/>
      <c r="O71" s="260"/>
    </row>
    <row r="72" spans="1:36" s="204" customFormat="1" ht="37.5" customHeight="1">
      <c r="A72" s="668" t="s">
        <v>2011</v>
      </c>
      <c r="B72" s="668"/>
      <c r="C72" s="668"/>
      <c r="D72" s="668"/>
      <c r="E72" s="668"/>
      <c r="F72" s="668"/>
      <c r="G72" s="668"/>
      <c r="H72" s="668"/>
      <c r="I72" s="668"/>
      <c r="J72" s="668"/>
      <c r="K72" s="668"/>
      <c r="L72" s="668"/>
      <c r="M72" s="668"/>
      <c r="N72" s="260"/>
      <c r="O72" s="260"/>
    </row>
    <row r="73" spans="1:36" s="204" customFormat="1" ht="15" customHeight="1">
      <c r="A73" s="673" t="s">
        <v>2012</v>
      </c>
      <c r="B73" s="673"/>
      <c r="C73" s="673"/>
      <c r="D73" s="673"/>
      <c r="E73" s="673"/>
      <c r="F73" s="673"/>
      <c r="G73" s="673"/>
      <c r="H73" s="673"/>
      <c r="I73" s="673"/>
      <c r="J73" s="673"/>
      <c r="K73" s="673"/>
      <c r="L73" s="673"/>
      <c r="M73" s="673"/>
      <c r="N73" s="260"/>
      <c r="O73" s="260"/>
    </row>
    <row r="74" spans="1:36" s="204" customFormat="1" ht="57" customHeight="1">
      <c r="A74" s="686" t="s">
        <v>2013</v>
      </c>
      <c r="B74" s="686"/>
      <c r="C74" s="686"/>
      <c r="D74" s="686"/>
      <c r="E74" s="686"/>
      <c r="F74" s="686"/>
      <c r="G74" s="686"/>
      <c r="H74" s="686"/>
      <c r="I74" s="686"/>
      <c r="J74" s="686"/>
      <c r="K74" s="686"/>
      <c r="L74" s="686"/>
      <c r="M74" s="686"/>
      <c r="N74" s="260"/>
      <c r="O74" s="260"/>
    </row>
    <row r="75" spans="1:36" s="204" customFormat="1" ht="15" customHeight="1">
      <c r="A75" s="673" t="s">
        <v>2014</v>
      </c>
      <c r="B75" s="673"/>
      <c r="C75" s="673"/>
      <c r="D75" s="673"/>
      <c r="E75" s="673"/>
      <c r="F75" s="673"/>
      <c r="G75" s="673"/>
      <c r="H75" s="673"/>
      <c r="I75" s="673"/>
      <c r="J75" s="673"/>
      <c r="K75" s="673"/>
      <c r="L75" s="673"/>
      <c r="M75" s="673"/>
    </row>
    <row r="76" spans="1:36" s="204" customFormat="1" ht="39" customHeight="1">
      <c r="A76" s="668" t="s">
        <v>2015</v>
      </c>
      <c r="B76" s="668"/>
      <c r="C76" s="668"/>
      <c r="D76" s="668"/>
      <c r="E76" s="668"/>
      <c r="F76" s="668"/>
      <c r="G76" s="668"/>
      <c r="H76" s="668"/>
      <c r="I76" s="668"/>
      <c r="J76" s="668"/>
      <c r="K76" s="668"/>
      <c r="L76" s="668"/>
      <c r="M76" s="668"/>
    </row>
    <row r="77" spans="1:36" s="204" customFormat="1" ht="15" customHeight="1">
      <c r="A77" s="673" t="s">
        <v>2016</v>
      </c>
      <c r="B77" s="673"/>
      <c r="C77" s="673"/>
      <c r="D77" s="673"/>
      <c r="E77" s="673"/>
      <c r="F77" s="673"/>
      <c r="G77" s="673"/>
      <c r="H77" s="673"/>
      <c r="I77" s="673"/>
      <c r="J77" s="673"/>
      <c r="K77" s="673"/>
      <c r="L77" s="673"/>
      <c r="M77" s="673"/>
    </row>
    <row r="78" spans="1:36" s="204" customFormat="1" ht="19.5" customHeight="1">
      <c r="B78" s="261" t="s">
        <v>2017</v>
      </c>
      <c r="C78" s="190"/>
      <c r="D78" s="190"/>
      <c r="E78" s="190"/>
      <c r="F78" s="190"/>
      <c r="G78" s="190"/>
      <c r="H78" s="190"/>
      <c r="I78" s="190"/>
      <c r="J78" s="190"/>
      <c r="K78" s="190"/>
      <c r="L78" s="219"/>
    </row>
    <row r="79" spans="1:36" s="170" customFormat="1" ht="12.75" customHeight="1">
      <c r="B79" s="745" t="s">
        <v>2018</v>
      </c>
      <c r="C79" s="745"/>
      <c r="D79" s="745"/>
      <c r="E79" s="745"/>
      <c r="F79" s="745"/>
      <c r="G79" s="745"/>
      <c r="H79" s="745"/>
      <c r="I79" s="745"/>
      <c r="J79" s="745"/>
      <c r="K79" s="745"/>
    </row>
    <row r="80" spans="1:36" s="206" customFormat="1" ht="6.6">
      <c r="B80" s="262"/>
      <c r="C80" s="263"/>
      <c r="D80" s="263"/>
      <c r="E80" s="263"/>
      <c r="F80" s="263"/>
      <c r="G80" s="263"/>
      <c r="H80" s="263"/>
      <c r="I80" s="263"/>
      <c r="J80" s="263"/>
      <c r="K80" s="263"/>
    </row>
    <row r="81" spans="1:13" s="204" customFormat="1" ht="14.4">
      <c r="B81" s="264"/>
      <c r="C81" s="265" t="s">
        <v>2019</v>
      </c>
      <c r="D81" s="265" t="s">
        <v>2020</v>
      </c>
      <c r="E81" s="265" t="s">
        <v>2020</v>
      </c>
      <c r="F81" s="265" t="s">
        <v>2021</v>
      </c>
      <c r="G81" s="265" t="s">
        <v>2021</v>
      </c>
      <c r="H81" s="742" t="s">
        <v>2022</v>
      </c>
      <c r="I81" s="743"/>
      <c r="J81" s="743"/>
      <c r="K81" s="744"/>
    </row>
    <row r="82" spans="1:13" s="204" customFormat="1" ht="28.8">
      <c r="B82" s="266"/>
      <c r="C82" s="198"/>
      <c r="D82" s="266" t="s">
        <v>1949</v>
      </c>
      <c r="E82" s="266" t="s">
        <v>1950</v>
      </c>
      <c r="F82" s="266" t="s">
        <v>1949</v>
      </c>
      <c r="G82" s="266" t="s">
        <v>1950</v>
      </c>
      <c r="H82" s="746"/>
      <c r="I82" s="747"/>
      <c r="J82" s="747"/>
      <c r="K82" s="748"/>
    </row>
    <row r="83" spans="1:13" s="204" customFormat="1" ht="15" customHeight="1">
      <c r="B83" s="267" t="s">
        <v>2023</v>
      </c>
      <c r="C83" s="268" t="s">
        <v>1996</v>
      </c>
      <c r="D83" s="264" t="s">
        <v>2024</v>
      </c>
      <c r="E83" s="264" t="s">
        <v>2025</v>
      </c>
      <c r="F83" s="264" t="s">
        <v>2024</v>
      </c>
      <c r="G83" s="264" t="s">
        <v>2025</v>
      </c>
      <c r="H83" s="749" t="s">
        <v>2026</v>
      </c>
      <c r="I83" s="750"/>
      <c r="J83" s="750"/>
      <c r="K83" s="751"/>
    </row>
    <row r="84" spans="1:13" s="204" customFormat="1" ht="15" customHeight="1">
      <c r="B84" s="267" t="s">
        <v>1686</v>
      </c>
      <c r="C84" s="268" t="s">
        <v>1614</v>
      </c>
      <c r="D84" s="264" t="s">
        <v>2024</v>
      </c>
      <c r="E84" s="264" t="s">
        <v>2025</v>
      </c>
      <c r="F84" s="264" t="s">
        <v>2024</v>
      </c>
      <c r="G84" s="264" t="s">
        <v>2025</v>
      </c>
      <c r="H84" s="749" t="s">
        <v>2027</v>
      </c>
      <c r="I84" s="750"/>
      <c r="J84" s="750"/>
      <c r="K84" s="751"/>
    </row>
    <row r="85" spans="1:13" s="204" customFormat="1" ht="15" customHeight="1">
      <c r="B85" s="267" t="s">
        <v>2028</v>
      </c>
      <c r="C85" s="268" t="s">
        <v>2029</v>
      </c>
      <c r="D85" s="264" t="s">
        <v>2024</v>
      </c>
      <c r="E85" s="264" t="s">
        <v>2024</v>
      </c>
      <c r="F85" s="264" t="s">
        <v>2024</v>
      </c>
      <c r="G85" s="264" t="s">
        <v>2024</v>
      </c>
      <c r="H85" s="749" t="s">
        <v>2030</v>
      </c>
      <c r="I85" s="750"/>
      <c r="J85" s="750"/>
      <c r="K85" s="751"/>
    </row>
    <row r="86" spans="1:13" s="204" customFormat="1" ht="30" customHeight="1">
      <c r="B86" s="267" t="s">
        <v>2031</v>
      </c>
      <c r="C86" s="268" t="s">
        <v>1614</v>
      </c>
      <c r="D86" s="264" t="s">
        <v>2024</v>
      </c>
      <c r="E86" s="264" t="s">
        <v>2024</v>
      </c>
      <c r="F86" s="264" t="s">
        <v>2024</v>
      </c>
      <c r="G86" s="264" t="s">
        <v>2024</v>
      </c>
      <c r="H86" s="749" t="s">
        <v>2032</v>
      </c>
      <c r="I86" s="750"/>
      <c r="J86" s="750"/>
      <c r="K86" s="751"/>
    </row>
    <row r="87" spans="1:13" s="204" customFormat="1" ht="33" customHeight="1">
      <c r="B87" s="267" t="s">
        <v>2033</v>
      </c>
      <c r="C87" s="268" t="s">
        <v>1614</v>
      </c>
      <c r="D87" s="264" t="s">
        <v>2024</v>
      </c>
      <c r="E87" s="264" t="s">
        <v>2024</v>
      </c>
      <c r="F87" s="264" t="s">
        <v>2024</v>
      </c>
      <c r="G87" s="264" t="s">
        <v>2024</v>
      </c>
      <c r="H87" s="749" t="s">
        <v>2034</v>
      </c>
      <c r="I87" s="750"/>
      <c r="J87" s="750"/>
      <c r="K87" s="751"/>
    </row>
    <row r="88" spans="1:13" s="204" customFormat="1" ht="26.25" customHeight="1">
      <c r="A88" s="238"/>
      <c r="B88" s="238"/>
      <c r="C88" s="238"/>
      <c r="D88" s="238"/>
      <c r="E88" s="238"/>
      <c r="F88" s="238"/>
      <c r="G88" s="238"/>
      <c r="H88" s="238"/>
      <c r="I88" s="238"/>
      <c r="J88" s="238"/>
      <c r="K88" s="238"/>
    </row>
    <row r="89" spans="1:13" s="204" customFormat="1" ht="14.4">
      <c r="B89" s="269" t="s">
        <v>2035</v>
      </c>
      <c r="C89" s="238"/>
      <c r="D89" s="238"/>
      <c r="E89" s="238"/>
      <c r="F89" s="238"/>
      <c r="G89" s="238"/>
      <c r="H89" s="238"/>
      <c r="I89" s="238"/>
      <c r="J89" s="238"/>
      <c r="K89" s="238"/>
      <c r="L89" s="238"/>
    </row>
    <row r="90" spans="1:13" s="170" customFormat="1" ht="19.5" customHeight="1">
      <c r="A90" s="270"/>
      <c r="B90" s="745" t="s">
        <v>2036</v>
      </c>
      <c r="C90" s="745"/>
      <c r="D90" s="745"/>
      <c r="E90" s="745"/>
      <c r="F90" s="745"/>
      <c r="G90" s="745"/>
      <c r="H90" s="745"/>
      <c r="I90" s="745"/>
      <c r="J90" s="745"/>
      <c r="K90" s="745"/>
      <c r="L90" s="271"/>
    </row>
    <row r="91" spans="1:13" s="170" customFormat="1" ht="33" customHeight="1">
      <c r="A91" s="270"/>
      <c r="B91" s="722" t="s">
        <v>2037</v>
      </c>
      <c r="C91" s="722"/>
      <c r="D91" s="722"/>
      <c r="E91" s="722"/>
      <c r="F91" s="722"/>
      <c r="G91" s="722"/>
      <c r="H91" s="722"/>
      <c r="I91" s="722"/>
      <c r="J91" s="722"/>
      <c r="K91" s="722"/>
      <c r="L91" s="247"/>
      <c r="M91" s="247"/>
    </row>
    <row r="92" spans="1:13" s="204" customFormat="1" ht="14.4">
      <c r="B92" s="752" t="s">
        <v>2038</v>
      </c>
      <c r="C92" s="752"/>
      <c r="D92" s="752"/>
      <c r="E92" s="752"/>
      <c r="F92" s="752"/>
      <c r="G92" s="752"/>
      <c r="H92" s="238"/>
      <c r="I92" s="238"/>
      <c r="J92" s="238"/>
      <c r="K92" s="238"/>
      <c r="L92" s="238"/>
    </row>
    <row r="93" spans="1:13" s="206" customFormat="1" ht="6.6">
      <c r="B93" s="262"/>
      <c r="C93" s="263"/>
      <c r="D93" s="263"/>
      <c r="E93" s="263"/>
      <c r="F93" s="263"/>
      <c r="G93" s="263"/>
      <c r="H93" s="263"/>
      <c r="I93" s="263"/>
      <c r="J93" s="263"/>
      <c r="K93" s="263"/>
      <c r="L93" s="263"/>
    </row>
    <row r="94" spans="1:13" s="204" customFormat="1" ht="14.4">
      <c r="B94" s="264"/>
      <c r="C94" s="265" t="s">
        <v>2019</v>
      </c>
      <c r="D94" s="265" t="s">
        <v>2020</v>
      </c>
      <c r="E94" s="265" t="s">
        <v>2020</v>
      </c>
      <c r="F94" s="265" t="s">
        <v>2021</v>
      </c>
      <c r="G94" s="265" t="s">
        <v>2021</v>
      </c>
      <c r="H94" s="742" t="s">
        <v>2022</v>
      </c>
      <c r="I94" s="743"/>
      <c r="J94" s="743"/>
      <c r="K94" s="744"/>
      <c r="L94" s="238"/>
    </row>
    <row r="95" spans="1:13" s="204" customFormat="1" ht="28.8">
      <c r="B95" s="266"/>
      <c r="C95" s="198"/>
      <c r="D95" s="266" t="s">
        <v>1949</v>
      </c>
      <c r="E95" s="266" t="s">
        <v>1950</v>
      </c>
      <c r="F95" s="266" t="s">
        <v>1949</v>
      </c>
      <c r="G95" s="266" t="s">
        <v>1950</v>
      </c>
      <c r="H95" s="746"/>
      <c r="I95" s="747"/>
      <c r="J95" s="747"/>
      <c r="K95" s="748"/>
      <c r="L95" s="238"/>
    </row>
    <row r="96" spans="1:13" s="204" customFormat="1" ht="14.4">
      <c r="A96" s="272" t="s">
        <v>2039</v>
      </c>
      <c r="B96" s="267" t="s">
        <v>1995</v>
      </c>
      <c r="C96" s="268" t="s">
        <v>1996</v>
      </c>
      <c r="D96" s="264" t="s">
        <v>2024</v>
      </c>
      <c r="E96" s="264" t="s">
        <v>2025</v>
      </c>
      <c r="F96" s="273"/>
      <c r="G96" s="273"/>
      <c r="H96" s="753" t="s">
        <v>2040</v>
      </c>
      <c r="I96" s="754"/>
      <c r="J96" s="754"/>
      <c r="K96" s="755"/>
      <c r="L96" s="238"/>
    </row>
    <row r="97" spans="1:13" s="204" customFormat="1" ht="14.4">
      <c r="A97" s="272" t="s">
        <v>2039</v>
      </c>
      <c r="B97" s="267" t="s">
        <v>2041</v>
      </c>
      <c r="C97" s="268" t="s">
        <v>1996</v>
      </c>
      <c r="D97" s="273"/>
      <c r="E97" s="273"/>
      <c r="F97" s="264" t="s">
        <v>2024</v>
      </c>
      <c r="G97" s="264" t="s">
        <v>2025</v>
      </c>
      <c r="H97" s="753" t="s">
        <v>2040</v>
      </c>
      <c r="I97" s="754"/>
      <c r="J97" s="754"/>
      <c r="K97" s="755"/>
      <c r="L97" s="238"/>
    </row>
    <row r="98" spans="1:13" s="204" customFormat="1" ht="28.8">
      <c r="A98" s="272" t="s">
        <v>2039</v>
      </c>
      <c r="B98" s="267" t="s">
        <v>2042</v>
      </c>
      <c r="C98" s="268" t="s">
        <v>2029</v>
      </c>
      <c r="D98" s="264" t="s">
        <v>2024</v>
      </c>
      <c r="E98" s="264" t="s">
        <v>2024</v>
      </c>
      <c r="F98" s="264" t="s">
        <v>2024</v>
      </c>
      <c r="G98" s="264" t="s">
        <v>2024</v>
      </c>
      <c r="H98" s="753" t="s">
        <v>2043</v>
      </c>
      <c r="I98" s="754"/>
      <c r="J98" s="754"/>
      <c r="K98" s="755"/>
      <c r="L98" s="238"/>
    </row>
    <row r="99" spans="1:13" s="204" customFormat="1" ht="17.25" customHeight="1">
      <c r="A99" s="272" t="s">
        <v>2039</v>
      </c>
      <c r="B99" s="267" t="s">
        <v>2044</v>
      </c>
      <c r="C99" s="268" t="s">
        <v>1614</v>
      </c>
      <c r="D99" s="264" t="s">
        <v>2024</v>
      </c>
      <c r="E99" s="264" t="s">
        <v>2024</v>
      </c>
      <c r="F99" s="264" t="s">
        <v>2024</v>
      </c>
      <c r="G99" s="264" t="s">
        <v>2024</v>
      </c>
      <c r="H99" s="753" t="s">
        <v>2045</v>
      </c>
      <c r="I99" s="754"/>
      <c r="J99" s="754"/>
      <c r="K99" s="755"/>
      <c r="L99" s="238"/>
    </row>
    <row r="100" spans="1:13" s="204" customFormat="1" ht="14.4">
      <c r="A100" s="272"/>
      <c r="B100" s="274" t="s">
        <v>2046</v>
      </c>
      <c r="C100" s="192"/>
      <c r="D100" s="192"/>
      <c r="E100" s="192"/>
      <c r="F100" s="192"/>
      <c r="G100" s="192"/>
      <c r="H100" s="192"/>
      <c r="I100" s="192"/>
      <c r="J100" s="192"/>
      <c r="K100" s="192"/>
      <c r="L100" s="238"/>
    </row>
    <row r="101" spans="1:13" s="204" customFormat="1" ht="30.75" customHeight="1">
      <c r="A101" s="272" t="s">
        <v>2047</v>
      </c>
      <c r="B101" s="267" t="s">
        <v>1934</v>
      </c>
      <c r="C101" s="268" t="s">
        <v>1614</v>
      </c>
      <c r="D101" s="264" t="s">
        <v>2024</v>
      </c>
      <c r="E101" s="264" t="s">
        <v>2024</v>
      </c>
      <c r="F101" s="273"/>
      <c r="G101" s="273"/>
      <c r="H101" s="749" t="s">
        <v>2048</v>
      </c>
      <c r="I101" s="750"/>
      <c r="J101" s="750"/>
      <c r="K101" s="751"/>
      <c r="L101" s="238"/>
    </row>
    <row r="102" spans="1:13" s="204" customFormat="1" ht="30" customHeight="1">
      <c r="A102" s="272" t="s">
        <v>2047</v>
      </c>
      <c r="B102" s="267" t="s">
        <v>1931</v>
      </c>
      <c r="C102" s="268" t="s">
        <v>1614</v>
      </c>
      <c r="D102" s="273"/>
      <c r="E102" s="273"/>
      <c r="F102" s="264" t="s">
        <v>2024</v>
      </c>
      <c r="G102" s="264" t="s">
        <v>2024</v>
      </c>
      <c r="H102" s="749" t="s">
        <v>2048</v>
      </c>
      <c r="I102" s="750"/>
      <c r="J102" s="750"/>
      <c r="K102" s="751"/>
      <c r="L102" s="238"/>
    </row>
    <row r="103" spans="1:13" s="204" customFormat="1" ht="30" customHeight="1">
      <c r="A103" s="272" t="s">
        <v>2047</v>
      </c>
      <c r="B103" s="267" t="s">
        <v>2049</v>
      </c>
      <c r="C103" s="268" t="s">
        <v>1614</v>
      </c>
      <c r="D103" s="264" t="s">
        <v>2024</v>
      </c>
      <c r="E103" s="264" t="s">
        <v>2024</v>
      </c>
      <c r="F103" s="264" t="s">
        <v>2024</v>
      </c>
      <c r="G103" s="264" t="s">
        <v>2024</v>
      </c>
      <c r="H103" s="749" t="s">
        <v>2048</v>
      </c>
      <c r="I103" s="750"/>
      <c r="J103" s="750"/>
      <c r="K103" s="751"/>
      <c r="L103" s="238"/>
    </row>
    <row r="104" spans="1:13" s="204" customFormat="1" ht="14.4">
      <c r="A104" s="272"/>
      <c r="B104" s="274" t="s">
        <v>2050</v>
      </c>
      <c r="C104" s="192"/>
      <c r="D104" s="192"/>
      <c r="E104" s="192"/>
      <c r="F104" s="192"/>
      <c r="G104" s="192"/>
      <c r="H104" s="192"/>
      <c r="I104" s="192"/>
      <c r="J104" s="192"/>
      <c r="K104" s="192"/>
      <c r="L104" s="238"/>
    </row>
    <row r="105" spans="1:13" s="204" customFormat="1" ht="28.8">
      <c r="A105" s="272" t="s">
        <v>2051</v>
      </c>
      <c r="B105" s="267" t="s">
        <v>2052</v>
      </c>
      <c r="C105" s="268" t="s">
        <v>1614</v>
      </c>
      <c r="D105" s="264" t="s">
        <v>2024</v>
      </c>
      <c r="E105" s="264" t="s">
        <v>2024</v>
      </c>
      <c r="F105" s="273"/>
      <c r="G105" s="273"/>
      <c r="H105" s="753" t="s">
        <v>2053</v>
      </c>
      <c r="I105" s="754"/>
      <c r="J105" s="754"/>
      <c r="K105" s="755"/>
      <c r="L105" s="238"/>
    </row>
    <row r="106" spans="1:13" s="204" customFormat="1" ht="28.8">
      <c r="A106" s="272" t="s">
        <v>2051</v>
      </c>
      <c r="B106" s="267" t="s">
        <v>1932</v>
      </c>
      <c r="C106" s="268" t="s">
        <v>1614</v>
      </c>
      <c r="D106" s="273"/>
      <c r="E106" s="273"/>
      <c r="F106" s="264" t="s">
        <v>2024</v>
      </c>
      <c r="G106" s="264" t="s">
        <v>2024</v>
      </c>
      <c r="H106" s="753" t="s">
        <v>2053</v>
      </c>
      <c r="I106" s="754"/>
      <c r="J106" s="754"/>
      <c r="K106" s="755"/>
      <c r="L106" s="238"/>
    </row>
    <row r="107" spans="1:13" s="206" customFormat="1" ht="6.6">
      <c r="B107" s="275"/>
      <c r="C107" s="275"/>
      <c r="D107" s="275"/>
      <c r="E107" s="275"/>
      <c r="F107" s="275"/>
      <c r="G107" s="275"/>
      <c r="H107" s="275"/>
      <c r="I107" s="275"/>
      <c r="J107" s="275"/>
      <c r="K107" s="275"/>
      <c r="L107" s="275"/>
    </row>
    <row r="108" spans="1:13" s="206" customFormat="1" ht="30.6" customHeight="1">
      <c r="B108" s="668" t="s">
        <v>2054</v>
      </c>
      <c r="C108" s="668"/>
      <c r="D108" s="668"/>
      <c r="E108" s="668"/>
      <c r="F108" s="668"/>
      <c r="G108" s="668"/>
      <c r="H108" s="668"/>
      <c r="I108" s="668"/>
      <c r="J108" s="668"/>
      <c r="K108" s="668"/>
      <c r="L108" s="668"/>
      <c r="M108" s="668"/>
    </row>
    <row r="109" spans="1:13" s="206" customFormat="1" ht="100.5" customHeight="1">
      <c r="B109" s="668" t="s">
        <v>2055</v>
      </c>
      <c r="C109" s="668"/>
      <c r="D109" s="668"/>
      <c r="E109" s="668"/>
      <c r="F109" s="668"/>
      <c r="G109" s="668"/>
      <c r="H109" s="668"/>
      <c r="I109" s="668"/>
      <c r="J109" s="668"/>
      <c r="K109" s="668"/>
      <c r="L109" s="668"/>
      <c r="M109" s="668"/>
    </row>
    <row r="110" spans="1:13" s="206" customFormat="1" ht="65.099999999999994" customHeight="1">
      <c r="B110" s="668" t="s">
        <v>2056</v>
      </c>
      <c r="C110" s="668"/>
      <c r="D110" s="668"/>
      <c r="E110" s="668"/>
      <c r="F110" s="668"/>
      <c r="G110" s="668"/>
      <c r="H110" s="668"/>
      <c r="I110" s="668"/>
      <c r="J110" s="668"/>
      <c r="K110" s="668"/>
      <c r="L110" s="668"/>
      <c r="M110" s="668"/>
    </row>
    <row r="111" spans="1:13" s="206" customFormat="1" ht="139.19999999999999" customHeight="1">
      <c r="B111" s="668" t="s">
        <v>2057</v>
      </c>
      <c r="C111" s="668"/>
      <c r="D111" s="668"/>
      <c r="E111" s="668"/>
      <c r="F111" s="668"/>
      <c r="G111" s="668"/>
      <c r="H111" s="668"/>
      <c r="I111" s="668"/>
      <c r="J111" s="668"/>
      <c r="K111" s="668"/>
      <c r="L111" s="668"/>
      <c r="M111" s="668"/>
    </row>
    <row r="112" spans="1:13" s="204" customFormat="1" ht="14.4">
      <c r="B112" s="756" t="s">
        <v>1988</v>
      </c>
      <c r="C112" s="668"/>
      <c r="D112" s="668"/>
      <c r="E112" s="668"/>
      <c r="F112" s="668"/>
      <c r="G112" s="668"/>
      <c r="H112" s="668"/>
      <c r="I112" s="668"/>
      <c r="J112" s="668"/>
      <c r="K112" s="668"/>
      <c r="L112" s="668"/>
      <c r="M112" s="668"/>
    </row>
    <row r="113" spans="1:13" s="206" customFormat="1" ht="6.6">
      <c r="B113" s="275"/>
      <c r="C113" s="275"/>
      <c r="D113" s="275"/>
      <c r="E113" s="275"/>
      <c r="F113" s="275"/>
      <c r="G113" s="275"/>
      <c r="H113" s="275"/>
      <c r="I113" s="275"/>
      <c r="J113" s="275"/>
      <c r="K113" s="275"/>
      <c r="L113" s="275"/>
    </row>
    <row r="114" spans="1:13" s="204" customFormat="1" ht="15" customHeight="1">
      <c r="A114" s="673" t="s">
        <v>1989</v>
      </c>
      <c r="B114" s="673"/>
      <c r="C114" s="673"/>
      <c r="D114" s="673"/>
      <c r="E114" s="673"/>
      <c r="F114" s="673"/>
      <c r="G114" s="673"/>
      <c r="H114" s="673"/>
      <c r="I114" s="673"/>
      <c r="J114" s="673"/>
      <c r="K114" s="673"/>
      <c r="L114" s="673"/>
      <c r="M114" s="673"/>
    </row>
    <row r="115" spans="1:13" s="204" customFormat="1" ht="55.5" customHeight="1">
      <c r="A115" s="668" t="s">
        <v>2058</v>
      </c>
      <c r="B115" s="668"/>
      <c r="C115" s="668"/>
      <c r="D115" s="668"/>
      <c r="E115" s="668"/>
      <c r="F115" s="668"/>
      <c r="G115" s="668"/>
      <c r="H115" s="668"/>
      <c r="I115" s="668"/>
      <c r="J115" s="668"/>
      <c r="K115" s="668"/>
      <c r="L115" s="668"/>
      <c r="M115" s="668"/>
    </row>
    <row r="116" spans="1:13" s="204" customFormat="1" ht="16.2" customHeight="1">
      <c r="A116" s="673" t="s">
        <v>1991</v>
      </c>
      <c r="B116" s="673"/>
      <c r="C116" s="673"/>
      <c r="D116" s="673"/>
      <c r="E116" s="673"/>
      <c r="F116" s="673"/>
      <c r="G116" s="673"/>
      <c r="H116" s="673"/>
      <c r="I116" s="673"/>
      <c r="J116" s="673"/>
      <c r="K116" s="673"/>
      <c r="L116" s="673"/>
      <c r="M116" s="673"/>
    </row>
    <row r="117" spans="1:13" s="204" customFormat="1" ht="88.5" customHeight="1">
      <c r="A117" s="668" t="s">
        <v>1992</v>
      </c>
      <c r="B117" s="668"/>
      <c r="C117" s="668"/>
      <c r="D117" s="668"/>
      <c r="E117" s="668"/>
      <c r="F117" s="668"/>
      <c r="G117" s="668"/>
      <c r="H117" s="668"/>
      <c r="I117" s="668"/>
      <c r="J117" s="668"/>
      <c r="K117" s="668"/>
      <c r="L117" s="668"/>
      <c r="M117" s="668"/>
    </row>
    <row r="118" spans="1:13" s="204" customFormat="1" ht="15" customHeight="1">
      <c r="A118" s="673" t="s">
        <v>1993</v>
      </c>
      <c r="B118" s="673"/>
      <c r="C118" s="673"/>
      <c r="D118" s="673"/>
      <c r="E118" s="673"/>
      <c r="F118" s="673"/>
      <c r="G118" s="673"/>
      <c r="H118" s="673"/>
      <c r="I118" s="673"/>
      <c r="J118" s="673"/>
      <c r="K118" s="673"/>
      <c r="L118" s="673"/>
      <c r="M118" s="673"/>
    </row>
    <row r="119" spans="1:13" s="204" customFormat="1" ht="14.4">
      <c r="A119" s="668" t="s">
        <v>1994</v>
      </c>
      <c r="B119" s="668"/>
      <c r="C119" s="668"/>
      <c r="D119" s="668"/>
      <c r="E119" s="668"/>
      <c r="F119" s="668"/>
      <c r="G119" s="668"/>
      <c r="H119" s="668"/>
      <c r="I119" s="668"/>
      <c r="J119" s="668"/>
      <c r="K119" s="668"/>
      <c r="L119" s="668"/>
      <c r="M119" s="668"/>
    </row>
    <row r="120" spans="1:13" s="204" customFormat="1" ht="14.4">
      <c r="B120" s="190"/>
      <c r="C120" s="190"/>
      <c r="D120" s="190"/>
      <c r="E120" s="190"/>
      <c r="F120" s="190"/>
      <c r="G120" s="190"/>
      <c r="H120" s="190"/>
      <c r="I120" s="276"/>
      <c r="J120" s="276"/>
      <c r="K120" s="276"/>
      <c r="L120" s="276"/>
      <c r="M120" s="276"/>
    </row>
    <row r="121" spans="1:13" s="204" customFormat="1" ht="14.4">
      <c r="A121" s="671" t="s">
        <v>1685</v>
      </c>
      <c r="B121" s="671"/>
      <c r="C121" s="671"/>
      <c r="D121" s="671"/>
      <c r="E121" s="671"/>
      <c r="F121" s="671"/>
      <c r="G121" s="671"/>
      <c r="H121" s="671"/>
      <c r="I121" s="671"/>
      <c r="J121" s="671"/>
      <c r="K121" s="671"/>
      <c r="L121" s="671"/>
      <c r="M121" s="671"/>
    </row>
    <row r="122" spans="1:13" s="204" customFormat="1"/>
    <row r="123" spans="1:13" s="204" customFormat="1"/>
    <row r="124" spans="1:13" s="204" customFormat="1"/>
    <row r="125" spans="1:13" s="204" customFormat="1"/>
    <row r="126" spans="1:13" s="204" customFormat="1"/>
    <row r="127" spans="1:13" s="204" customFormat="1"/>
    <row r="128" spans="1:13" s="204" customFormat="1"/>
    <row r="129" s="204" customFormat="1"/>
    <row r="130" s="204" customFormat="1"/>
    <row r="131" s="204" customFormat="1"/>
    <row r="132" s="204" customFormat="1"/>
    <row r="133" s="204" customFormat="1"/>
    <row r="134" s="204" customFormat="1"/>
    <row r="135" s="204" customFormat="1"/>
    <row r="136" s="204" customFormat="1"/>
    <row r="137" s="204" customFormat="1"/>
    <row r="138" s="204" customFormat="1"/>
    <row r="139" s="204" customFormat="1"/>
    <row r="140" s="204" customFormat="1"/>
    <row r="141" s="204" customFormat="1"/>
    <row r="142" s="204" customFormat="1"/>
    <row r="143" s="204" customFormat="1"/>
    <row r="144" s="204" customFormat="1"/>
    <row r="145" s="204" customFormat="1"/>
    <row r="146" s="204" customFormat="1"/>
    <row r="147" s="204" customFormat="1"/>
    <row r="148" s="204" customFormat="1"/>
    <row r="149" s="204" customFormat="1"/>
    <row r="150" s="204" customFormat="1"/>
    <row r="151" s="204" customFormat="1"/>
    <row r="152" s="204" customFormat="1"/>
    <row r="153" s="204" customFormat="1"/>
    <row r="154" s="204" customFormat="1"/>
  </sheetData>
  <sheetProtection algorithmName="SHA-512" hashValue="CW/ktQca2r7fGrdN+z4MPzYp7iavncvzoa2VlMPoCaiicK/DcOb6CXAycbZlxlBiSJ/RD4Nkd/I34buGedeXGw==" saltValue="zz2EuMcycBQSYvpQAXMdvQ==" spinCount="100000" sheet="1" objects="1" scenarios="1" autoFilter="0"/>
  <mergeCells count="92">
    <mergeCell ref="A117:M117"/>
    <mergeCell ref="A118:M118"/>
    <mergeCell ref="A119:M119"/>
    <mergeCell ref="A121:M121"/>
    <mergeCell ref="B110:M110"/>
    <mergeCell ref="B111:M111"/>
    <mergeCell ref="B112:M112"/>
    <mergeCell ref="A114:M114"/>
    <mergeCell ref="A115:M115"/>
    <mergeCell ref="A116:M116"/>
    <mergeCell ref="B109:M109"/>
    <mergeCell ref="H95:K95"/>
    <mergeCell ref="H96:K96"/>
    <mergeCell ref="H97:K97"/>
    <mergeCell ref="H98:K98"/>
    <mergeCell ref="H99:K99"/>
    <mergeCell ref="H101:K101"/>
    <mergeCell ref="H102:K102"/>
    <mergeCell ref="H103:K103"/>
    <mergeCell ref="H105:K105"/>
    <mergeCell ref="H106:K106"/>
    <mergeCell ref="B108:M108"/>
    <mergeCell ref="H94:K94"/>
    <mergeCell ref="B79:K79"/>
    <mergeCell ref="H81:K81"/>
    <mergeCell ref="H82:K82"/>
    <mergeCell ref="H83:K83"/>
    <mergeCell ref="H84:K84"/>
    <mergeCell ref="H85:K85"/>
    <mergeCell ref="H86:K86"/>
    <mergeCell ref="H87:K87"/>
    <mergeCell ref="B90:K90"/>
    <mergeCell ref="B91:K91"/>
    <mergeCell ref="B92:G92"/>
    <mergeCell ref="A77:M77"/>
    <mergeCell ref="A60:A67"/>
    <mergeCell ref="B60:B61"/>
    <mergeCell ref="B62:B63"/>
    <mergeCell ref="B64:B65"/>
    <mergeCell ref="B66:B67"/>
    <mergeCell ref="A71:M71"/>
    <mergeCell ref="A72:M72"/>
    <mergeCell ref="A73:M73"/>
    <mergeCell ref="A74:M74"/>
    <mergeCell ref="A75:M75"/>
    <mergeCell ref="A76:M76"/>
    <mergeCell ref="AF46:AI46"/>
    <mergeCell ref="A48:A55"/>
    <mergeCell ref="B48:B49"/>
    <mergeCell ref="B50:B51"/>
    <mergeCell ref="B52:B53"/>
    <mergeCell ref="B54:B55"/>
    <mergeCell ref="H46:K46"/>
    <mergeCell ref="L46:O46"/>
    <mergeCell ref="P46:S46"/>
    <mergeCell ref="T46:W46"/>
    <mergeCell ref="X46:AA46"/>
    <mergeCell ref="AB46:AE46"/>
    <mergeCell ref="D46:G46"/>
    <mergeCell ref="P24:S24"/>
    <mergeCell ref="T24:W24"/>
    <mergeCell ref="X24:AA24"/>
    <mergeCell ref="AB24:AE24"/>
    <mergeCell ref="AF24:AI24"/>
    <mergeCell ref="A26:A43"/>
    <mergeCell ref="B26:B27"/>
    <mergeCell ref="B28:B29"/>
    <mergeCell ref="B30:B31"/>
    <mergeCell ref="B32:B33"/>
    <mergeCell ref="B34:B35"/>
    <mergeCell ref="B36:B37"/>
    <mergeCell ref="B38:B39"/>
    <mergeCell ref="B40:B41"/>
    <mergeCell ref="B42:B43"/>
    <mergeCell ref="A20:L20"/>
    <mergeCell ref="A21:L21"/>
    <mergeCell ref="A22:L22"/>
    <mergeCell ref="D24:G24"/>
    <mergeCell ref="H24:K24"/>
    <mergeCell ref="L24:O24"/>
    <mergeCell ref="N14:Y14"/>
    <mergeCell ref="A15:L15"/>
    <mergeCell ref="A16:L16"/>
    <mergeCell ref="A17:L17"/>
    <mergeCell ref="A18:L18"/>
    <mergeCell ref="A19:L19"/>
    <mergeCell ref="A8:L8"/>
    <mergeCell ref="A10:L10"/>
    <mergeCell ref="A11:L11"/>
    <mergeCell ref="A12:L12"/>
    <mergeCell ref="A13:L13"/>
    <mergeCell ref="A14:L14"/>
  </mergeCells>
  <conditionalFormatting sqref="D48 D50 D52 D54">
    <cfRule type="expression" dxfId="13" priority="1">
      <formula>IF(D48="",TRUE,FALSE)</formula>
    </cfRule>
  </conditionalFormatting>
  <conditionalFormatting sqref="D97:E97">
    <cfRule type="expression" dxfId="12" priority="5">
      <formula>IF(D97="",TRUE,FALSE)</formula>
    </cfRule>
  </conditionalFormatting>
  <conditionalFormatting sqref="D102:E102">
    <cfRule type="expression" dxfId="11" priority="2">
      <formula>IF(D102="",TRUE,FALSE)</formula>
    </cfRule>
  </conditionalFormatting>
  <conditionalFormatting sqref="D106:E106">
    <cfRule type="expression" dxfId="10" priority="4">
      <formula>IF(D106="",TRUE,FALSE)</formula>
    </cfRule>
  </conditionalFormatting>
  <conditionalFormatting sqref="D26:AI43 F96:G96">
    <cfRule type="expression" dxfId="9" priority="7">
      <formula>IF(D26="",TRUE,FALSE)</formula>
    </cfRule>
  </conditionalFormatting>
  <conditionalFormatting sqref="F101:G101">
    <cfRule type="expression" dxfId="8" priority="3">
      <formula>IF(F101="",TRUE,FALSE)</formula>
    </cfRule>
  </conditionalFormatting>
  <conditionalFormatting sqref="F105:G105">
    <cfRule type="expression" dxfId="7" priority="6">
      <formula>IF(F105="",TRUE,FALSE)</formula>
    </cfRule>
  </conditionalFormatting>
  <hyperlinks>
    <hyperlink ref="A3" location="Index!A1" display="Index" xr:uid="{00000000-0004-0000-26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26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2600-000002000000}"/>
  </hyperlinks>
  <pageMargins left="0.7" right="0.7" top="0.75" bottom="0.75" header="0.3" footer="0.3"/>
  <pageSetup paperSize="9" scale="17" fitToHeight="0"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sheetPr>
  <dimension ref="A2:H33"/>
  <sheetViews>
    <sheetView showGridLines="0" workbookViewId="0"/>
  </sheetViews>
  <sheetFormatPr baseColWidth="10" defaultColWidth="11.44140625" defaultRowHeight="14.4"/>
  <cols>
    <col min="1" max="1" width="3" customWidth="1"/>
    <col min="2" max="2" width="24.6640625" customWidth="1"/>
    <col min="3" max="3" width="44.33203125" bestFit="1" customWidth="1"/>
    <col min="4" max="4" width="95.44140625" bestFit="1" customWidth="1"/>
    <col min="5" max="5" width="22.6640625" customWidth="1"/>
    <col min="7" max="7" width="25.44140625" bestFit="1" customWidth="1"/>
    <col min="8" max="8" width="26.5546875" bestFit="1" customWidth="1"/>
  </cols>
  <sheetData>
    <row r="2" spans="1:8">
      <c r="B2" s="1" t="s">
        <v>358</v>
      </c>
      <c r="C2" s="414"/>
      <c r="D2" s="414"/>
      <c r="E2" s="414"/>
      <c r="F2" s="414"/>
      <c r="G2" s="414"/>
      <c r="H2" s="414"/>
    </row>
    <row r="3" spans="1:8">
      <c r="B3" s="1" t="s">
        <v>210</v>
      </c>
      <c r="C3" s="414"/>
      <c r="D3" s="414"/>
      <c r="E3" s="414"/>
      <c r="F3" s="414"/>
      <c r="G3" s="414"/>
      <c r="H3" s="414"/>
    </row>
    <row r="4" spans="1:8">
      <c r="B4" s="1" t="s">
        <v>2059</v>
      </c>
      <c r="C4" s="414"/>
      <c r="D4" s="414"/>
      <c r="E4" s="414"/>
      <c r="F4" s="414"/>
      <c r="G4" s="414"/>
      <c r="H4" s="414"/>
    </row>
    <row r="5" spans="1:8">
      <c r="B5" s="414"/>
      <c r="C5" s="414"/>
      <c r="D5" s="414"/>
      <c r="E5" s="414"/>
      <c r="F5" s="414"/>
      <c r="G5" s="414"/>
      <c r="H5" s="414"/>
    </row>
    <row r="6" spans="1:8" ht="28.8">
      <c r="B6" s="71" t="s">
        <v>2060</v>
      </c>
      <c r="C6" s="71" t="s">
        <v>2061</v>
      </c>
      <c r="D6" s="74" t="s">
        <v>1543</v>
      </c>
      <c r="E6" s="74" t="s">
        <v>93</v>
      </c>
      <c r="F6" s="74" t="s">
        <v>1865</v>
      </c>
      <c r="G6" s="71" t="s">
        <v>1547</v>
      </c>
      <c r="H6" s="74" t="s">
        <v>346</v>
      </c>
    </row>
    <row r="7" spans="1:8">
      <c r="B7" s="402" t="s">
        <v>291</v>
      </c>
      <c r="C7" s="402" t="s">
        <v>292</v>
      </c>
      <c r="D7" s="72" t="s">
        <v>2062</v>
      </c>
      <c r="E7" s="109" t="s">
        <v>293</v>
      </c>
      <c r="F7" s="339">
        <f>'3.3 Freighting goods'!P51</f>
        <v>0.17852999999999999</v>
      </c>
      <c r="G7" s="109" t="str">
        <f t="shared" ref="G7:G16" si="0">"kgCO2e/"&amp;E7</f>
        <v>kgCO2e/tonelada-kilómetro</v>
      </c>
      <c r="H7" s="402" t="s">
        <v>2063</v>
      </c>
    </row>
    <row r="8" spans="1:8">
      <c r="B8" s="402" t="s">
        <v>291</v>
      </c>
      <c r="C8" s="402" t="s">
        <v>294</v>
      </c>
      <c r="D8" s="72" t="s">
        <v>2064</v>
      </c>
      <c r="E8" s="109" t="s">
        <v>293</v>
      </c>
      <c r="F8" s="339">
        <f>'3.3 Freighting goods'!P42</f>
        <v>0.50546000000000002</v>
      </c>
      <c r="G8" s="109" t="str">
        <f t="shared" si="0"/>
        <v>kgCO2e/tonelada-kilómetro</v>
      </c>
      <c r="H8" s="402" t="s">
        <v>2063</v>
      </c>
    </row>
    <row r="9" spans="1:8">
      <c r="B9" s="402" t="s">
        <v>291</v>
      </c>
      <c r="C9" s="402" t="s">
        <v>295</v>
      </c>
      <c r="D9" s="72" t="s">
        <v>2065</v>
      </c>
      <c r="E9" s="109" t="s">
        <v>293</v>
      </c>
      <c r="F9" s="339">
        <f>'3.3 Freighting goods'!P45</f>
        <v>0.38023000000000001</v>
      </c>
      <c r="G9" s="109" t="str">
        <f t="shared" si="0"/>
        <v>kgCO2e/tonelada-kilómetro</v>
      </c>
      <c r="H9" s="402" t="s">
        <v>2063</v>
      </c>
    </row>
    <row r="10" spans="1:8">
      <c r="B10" s="402" t="s">
        <v>291</v>
      </c>
      <c r="C10" s="402" t="s">
        <v>296</v>
      </c>
      <c r="D10" s="72" t="s">
        <v>2066</v>
      </c>
      <c r="E10" s="109" t="s">
        <v>293</v>
      </c>
      <c r="F10" s="339">
        <f>'3.3 Freighting goods'!P48</f>
        <v>0.15398000000000001</v>
      </c>
      <c r="G10" s="109" t="str">
        <f t="shared" si="0"/>
        <v>kgCO2e/tonelada-kilómetro</v>
      </c>
      <c r="H10" s="402" t="s">
        <v>2063</v>
      </c>
    </row>
    <row r="11" spans="1:8">
      <c r="B11" s="402" t="s">
        <v>291</v>
      </c>
      <c r="C11" s="402" t="s">
        <v>297</v>
      </c>
      <c r="D11" s="72" t="s">
        <v>2067</v>
      </c>
      <c r="E11" s="109" t="s">
        <v>293</v>
      </c>
      <c r="F11" s="339">
        <f>'3.3 Freighting goods'!P60</f>
        <v>7.5469999999999995E-2</v>
      </c>
      <c r="G11" s="109" t="str">
        <f t="shared" si="0"/>
        <v>kgCO2e/tonelada-kilómetro</v>
      </c>
      <c r="H11" s="402" t="s">
        <v>2063</v>
      </c>
    </row>
    <row r="12" spans="1:8">
      <c r="B12" s="402" t="s">
        <v>291</v>
      </c>
      <c r="C12" s="402" t="s">
        <v>298</v>
      </c>
      <c r="D12" s="72" t="s">
        <v>2068</v>
      </c>
      <c r="E12" s="109" t="s">
        <v>293</v>
      </c>
      <c r="F12" s="339">
        <f>'3.3 Freighting goods'!P54</f>
        <v>0.11311</v>
      </c>
      <c r="G12" s="109" t="str">
        <f t="shared" si="0"/>
        <v>kgCO2e/tonelada-kilómetro</v>
      </c>
      <c r="H12" s="402" t="s">
        <v>2063</v>
      </c>
    </row>
    <row r="13" spans="1:8">
      <c r="B13" s="402" t="s">
        <v>291</v>
      </c>
      <c r="C13" s="402" t="s">
        <v>299</v>
      </c>
      <c r="D13" s="72" t="s">
        <v>2069</v>
      </c>
      <c r="E13" s="109" t="s">
        <v>293</v>
      </c>
      <c r="F13" s="339">
        <f>'3.3 Freighting goods'!P57</f>
        <v>7.4469999999999995E-2</v>
      </c>
      <c r="G13" s="109" t="str">
        <f t="shared" si="0"/>
        <v>kgCO2e/tonelada-kilómetro</v>
      </c>
      <c r="H13" s="402" t="s">
        <v>2063</v>
      </c>
    </row>
    <row r="14" spans="1:8">
      <c r="B14" s="402" t="s">
        <v>291</v>
      </c>
      <c r="C14" s="402" t="s">
        <v>300</v>
      </c>
      <c r="D14" s="72" t="s">
        <v>2070</v>
      </c>
      <c r="E14" s="109" t="s">
        <v>293</v>
      </c>
      <c r="F14" s="339">
        <f>'3.3 Freighting goods'!P63</f>
        <v>9.7519999999999996E-2</v>
      </c>
      <c r="G14" s="109" t="str">
        <f t="shared" si="0"/>
        <v>kgCO2e/tonelada-kilómetro</v>
      </c>
      <c r="H14" s="402" t="s">
        <v>2063</v>
      </c>
    </row>
    <row r="15" spans="1:8">
      <c r="A15" s="414"/>
      <c r="B15" s="402" t="s">
        <v>291</v>
      </c>
      <c r="C15" s="402" t="s">
        <v>301</v>
      </c>
      <c r="D15" s="402" t="s">
        <v>2071</v>
      </c>
      <c r="E15" s="109" t="s">
        <v>293</v>
      </c>
      <c r="F15" s="339">
        <f>'3.3 Freighting goods'!D106</f>
        <v>2.7789999999999999E-2</v>
      </c>
      <c r="G15" s="109" t="str">
        <f t="shared" si="0"/>
        <v>kgCO2e/tonelada-kilómetro</v>
      </c>
      <c r="H15" s="402" t="s">
        <v>2063</v>
      </c>
    </row>
    <row r="16" spans="1:8">
      <c r="B16" s="402" t="s">
        <v>291</v>
      </c>
      <c r="C16" s="402" t="s">
        <v>302</v>
      </c>
      <c r="D16" s="402" t="s">
        <v>2072</v>
      </c>
      <c r="E16" s="109" t="s">
        <v>293</v>
      </c>
      <c r="F16" s="339">
        <f>'3.3 Freighting goods'!D35</f>
        <v>0.61643000000000003</v>
      </c>
      <c r="G16" s="109" t="str">
        <f t="shared" si="0"/>
        <v>kgCO2e/tonelada-kilómetro</v>
      </c>
      <c r="H16" s="402" t="s">
        <v>2063</v>
      </c>
    </row>
    <row r="17" spans="1:8">
      <c r="B17" s="402" t="s">
        <v>291</v>
      </c>
      <c r="C17" s="402" t="s">
        <v>303</v>
      </c>
      <c r="D17" s="72" t="s">
        <v>2062</v>
      </c>
      <c r="E17" s="109" t="s">
        <v>293</v>
      </c>
      <c r="F17" s="339">
        <f>'3.3 Freighting goods'!P51</f>
        <v>0.17852999999999999</v>
      </c>
      <c r="G17" s="109" t="str">
        <f t="shared" ref="G17:G20" si="1">"kgCO2e/"&amp;E17</f>
        <v>kgCO2e/tonelada-kilómetro</v>
      </c>
      <c r="H17" s="402" t="s">
        <v>2063</v>
      </c>
    </row>
    <row r="18" spans="1:8">
      <c r="B18" s="402" t="s">
        <v>291</v>
      </c>
      <c r="C18" s="402" t="s">
        <v>304</v>
      </c>
      <c r="D18" s="402" t="s">
        <v>2073</v>
      </c>
      <c r="E18" s="109" t="s">
        <v>293</v>
      </c>
      <c r="F18" s="339">
        <f>'3.3 Freighting goods'!P60</f>
        <v>7.5469999999999995E-2</v>
      </c>
      <c r="G18" s="109" t="str">
        <f t="shared" si="1"/>
        <v>kgCO2e/tonelada-kilómetro</v>
      </c>
      <c r="H18" s="402" t="s">
        <v>2063</v>
      </c>
    </row>
    <row r="19" spans="1:8">
      <c r="B19" s="402" t="s">
        <v>291</v>
      </c>
      <c r="C19" s="402" t="s">
        <v>305</v>
      </c>
      <c r="D19" s="402" t="s">
        <v>2074</v>
      </c>
      <c r="E19" s="109" t="s">
        <v>293</v>
      </c>
      <c r="F19" s="339">
        <f>'3.3 Freighting goods'!P91</f>
        <v>0.11416999999999999</v>
      </c>
      <c r="G19" s="109" t="str">
        <f>"kgCO2e/"&amp;E19</f>
        <v>kgCO2e/tonelada-kilómetro</v>
      </c>
      <c r="H19" s="402" t="s">
        <v>2063</v>
      </c>
    </row>
    <row r="20" spans="1:8">
      <c r="A20" s="414"/>
      <c r="B20" s="402" t="s">
        <v>291</v>
      </c>
      <c r="C20" s="402" t="s">
        <v>306</v>
      </c>
      <c r="D20" s="402" t="s">
        <v>2071</v>
      </c>
      <c r="E20" s="109" t="s">
        <v>293</v>
      </c>
      <c r="F20" s="339">
        <f>'3.3 Freighting goods'!D106</f>
        <v>2.7789999999999999E-2</v>
      </c>
      <c r="G20" s="109" t="str">
        <f t="shared" si="1"/>
        <v>kgCO2e/tonelada-kilómetro</v>
      </c>
      <c r="H20" s="402" t="s">
        <v>2063</v>
      </c>
    </row>
    <row r="21" spans="1:8">
      <c r="B21" s="402" t="s">
        <v>307</v>
      </c>
      <c r="C21" s="402" t="s">
        <v>308</v>
      </c>
      <c r="D21" s="402" t="s">
        <v>2075</v>
      </c>
      <c r="E21" s="109" t="s">
        <v>293</v>
      </c>
      <c r="F21" s="339">
        <f>'3.3 Freighting goods'!E159</f>
        <v>1.6119999999999999E-2</v>
      </c>
      <c r="G21" s="109" t="str">
        <f t="shared" ref="G21:G22" si="2">"kgCO2e/"&amp;E21</f>
        <v>kgCO2e/tonelada-kilómetro</v>
      </c>
      <c r="H21" s="402" t="s">
        <v>2063</v>
      </c>
    </row>
    <row r="22" spans="1:8">
      <c r="B22" s="402" t="s">
        <v>307</v>
      </c>
      <c r="C22" s="402" t="s">
        <v>309</v>
      </c>
      <c r="D22" s="402" t="s">
        <v>2076</v>
      </c>
      <c r="E22" s="109" t="s">
        <v>293</v>
      </c>
      <c r="F22" s="339">
        <f>'3.3 Freighting goods'!E145</f>
        <v>3.5300000000000002E-3</v>
      </c>
      <c r="G22" s="109" t="str">
        <f t="shared" si="2"/>
        <v>kgCO2e/tonelada-kilómetro</v>
      </c>
      <c r="H22" s="402" t="s">
        <v>2063</v>
      </c>
    </row>
    <row r="23" spans="1:8">
      <c r="B23" s="402" t="s">
        <v>310</v>
      </c>
      <c r="C23" s="402" t="s">
        <v>273</v>
      </c>
      <c r="D23" s="402" t="s">
        <v>2077</v>
      </c>
      <c r="E23" s="109" t="s">
        <v>293</v>
      </c>
      <c r="F23" s="339">
        <f>'3.3 Freighting goods'!H98</f>
        <v>2.7601499999999999</v>
      </c>
      <c r="G23" s="109" t="str">
        <f t="shared" ref="G23" si="3">"kgCO2e/"&amp;E23</f>
        <v>kgCO2e/tonelada-kilómetro</v>
      </c>
      <c r="H23" s="402" t="s">
        <v>2063</v>
      </c>
    </row>
    <row r="24" spans="1:8">
      <c r="B24" s="402" t="s">
        <v>310</v>
      </c>
      <c r="C24" s="402" t="s">
        <v>274</v>
      </c>
      <c r="D24" s="402" t="s">
        <v>2078</v>
      </c>
      <c r="E24" s="109" t="s">
        <v>293</v>
      </c>
      <c r="F24" s="339">
        <f>'3.3 Freighting goods'!H101</f>
        <v>0.64875000000000005</v>
      </c>
      <c r="G24" s="109" t="str">
        <f t="shared" ref="G24" si="4">"kgCO2e/"&amp;E24</f>
        <v>kgCO2e/tonelada-kilómetro</v>
      </c>
      <c r="H24" s="402" t="s">
        <v>2063</v>
      </c>
    </row>
    <row r="25" spans="1:8">
      <c r="B25" s="402" t="s">
        <v>311</v>
      </c>
      <c r="C25" s="402" t="s">
        <v>302</v>
      </c>
      <c r="D25" s="402" t="s">
        <v>2072</v>
      </c>
      <c r="E25" s="109" t="s">
        <v>293</v>
      </c>
      <c r="F25" s="339">
        <f>'3.3 Freighting goods'!D35</f>
        <v>0.61643000000000003</v>
      </c>
      <c r="G25" s="109" t="str">
        <f>"kgCO2e/"&amp;E25</f>
        <v>kgCO2e/tonelada-kilómetro</v>
      </c>
      <c r="H25" s="402" t="s">
        <v>2063</v>
      </c>
    </row>
    <row r="26" spans="1:8">
      <c r="B26" s="402" t="s">
        <v>311</v>
      </c>
      <c r="C26" s="402" t="s">
        <v>303</v>
      </c>
      <c r="D26" s="72" t="s">
        <v>2062</v>
      </c>
      <c r="E26" s="109" t="s">
        <v>293</v>
      </c>
      <c r="F26" s="339">
        <f>'3.3 Freighting goods'!P51</f>
        <v>0.17852999999999999</v>
      </c>
      <c r="G26" s="109" t="str">
        <f t="shared" ref="G26:G27" si="5">"kgCO2e/"&amp;E26</f>
        <v>kgCO2e/tonelada-kilómetro</v>
      </c>
      <c r="H26" s="402" t="s">
        <v>2063</v>
      </c>
    </row>
    <row r="27" spans="1:8">
      <c r="B27" s="402" t="s">
        <v>311</v>
      </c>
      <c r="C27" s="402" t="s">
        <v>304</v>
      </c>
      <c r="D27" s="402" t="s">
        <v>2073</v>
      </c>
      <c r="E27" s="109" t="s">
        <v>293</v>
      </c>
      <c r="F27" s="339">
        <f>'3.3 Freighting goods'!P60</f>
        <v>7.5469999999999995E-2</v>
      </c>
      <c r="G27" s="109" t="str">
        <f t="shared" si="5"/>
        <v>kgCO2e/tonelada-kilómetro</v>
      </c>
      <c r="H27" s="402" t="s">
        <v>2063</v>
      </c>
    </row>
    <row r="28" spans="1:8">
      <c r="B28" s="402" t="s">
        <v>311</v>
      </c>
      <c r="C28" s="402" t="s">
        <v>305</v>
      </c>
      <c r="D28" s="402" t="s">
        <v>2074</v>
      </c>
      <c r="E28" s="109" t="s">
        <v>293</v>
      </c>
      <c r="F28" s="339">
        <f>'3.3 Freighting goods'!P91</f>
        <v>0.11416999999999999</v>
      </c>
      <c r="G28" s="109" t="str">
        <f>"kgCO2e/"&amp;E28</f>
        <v>kgCO2e/tonelada-kilómetro</v>
      </c>
      <c r="H28" s="402" t="s">
        <v>2063</v>
      </c>
    </row>
    <row r="29" spans="1:8">
      <c r="B29" s="402" t="s">
        <v>311</v>
      </c>
      <c r="C29" s="402" t="s">
        <v>306</v>
      </c>
      <c r="D29" s="402" t="s">
        <v>2071</v>
      </c>
      <c r="E29" s="109" t="s">
        <v>293</v>
      </c>
      <c r="F29" s="339">
        <f>'3.3 Freighting goods'!D106</f>
        <v>2.7789999999999999E-2</v>
      </c>
      <c r="G29" s="109" t="str">
        <f>"kgCO2e/"&amp;E29</f>
        <v>kgCO2e/tonelada-kilómetro</v>
      </c>
      <c r="H29" s="402" t="s">
        <v>2063</v>
      </c>
    </row>
    <row r="30" spans="1:8">
      <c r="B30" s="402" t="s">
        <v>312</v>
      </c>
      <c r="C30" s="402" t="s">
        <v>308</v>
      </c>
      <c r="D30" s="402" t="s">
        <v>2075</v>
      </c>
      <c r="E30" s="109" t="s">
        <v>293</v>
      </c>
      <c r="F30" s="339">
        <f>'3.3 Freighting goods'!E159</f>
        <v>1.6119999999999999E-2</v>
      </c>
      <c r="G30" s="109" t="str">
        <f t="shared" ref="G30:G33" si="6">"kgCO2e/"&amp;E30</f>
        <v>kgCO2e/tonelada-kilómetro</v>
      </c>
      <c r="H30" s="402" t="s">
        <v>2063</v>
      </c>
    </row>
    <row r="31" spans="1:8">
      <c r="B31" s="402" t="s">
        <v>312</v>
      </c>
      <c r="C31" s="402" t="s">
        <v>309</v>
      </c>
      <c r="D31" s="402" t="s">
        <v>2076</v>
      </c>
      <c r="E31" s="109" t="s">
        <v>293</v>
      </c>
      <c r="F31" s="339">
        <f>'3.3 Freighting goods'!E145</f>
        <v>3.5300000000000002E-3</v>
      </c>
      <c r="G31" s="109" t="str">
        <f t="shared" si="6"/>
        <v>kgCO2e/tonelada-kilómetro</v>
      </c>
      <c r="H31" s="402" t="s">
        <v>2063</v>
      </c>
    </row>
    <row r="32" spans="1:8">
      <c r="B32" s="402" t="s">
        <v>313</v>
      </c>
      <c r="C32" s="402" t="s">
        <v>273</v>
      </c>
      <c r="D32" s="402" t="s">
        <v>2077</v>
      </c>
      <c r="E32" s="109" t="s">
        <v>293</v>
      </c>
      <c r="F32" s="339">
        <f>'3.3 Freighting goods'!H98</f>
        <v>2.7601499999999999</v>
      </c>
      <c r="G32" s="109" t="str">
        <f t="shared" si="6"/>
        <v>kgCO2e/tonelada-kilómetro</v>
      </c>
      <c r="H32" s="402" t="s">
        <v>2063</v>
      </c>
    </row>
    <row r="33" spans="2:8">
      <c r="B33" s="402" t="s">
        <v>313</v>
      </c>
      <c r="C33" s="402" t="s">
        <v>274</v>
      </c>
      <c r="D33" s="402" t="s">
        <v>2078</v>
      </c>
      <c r="E33" s="109" t="s">
        <v>293</v>
      </c>
      <c r="F33" s="339">
        <f>'3.3 Freighting goods'!H101</f>
        <v>0.64875000000000005</v>
      </c>
      <c r="G33" s="109" t="str">
        <f t="shared" si="6"/>
        <v>kgCO2e/tonelada-kilómetro</v>
      </c>
      <c r="H33" s="402" t="s">
        <v>2063</v>
      </c>
    </row>
  </sheetData>
  <sheetProtection algorithmName="SHA-512" hashValue="G3MZr+ORD9TOC7j+fLw2le0i6RWSya9gi9O8dPwCJ0gz14gjuSyrSQ1ysHWVQ1vKEJAVvwEKWwio42jlanyzwA==" saltValue="DAloEb8kZs5pT6zF2DVO3w==" spinCount="100000" sheet="1" objects="1" scenarios="1" autoFilter="0"/>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pageSetUpPr fitToPage="1"/>
  </sheetPr>
  <dimension ref="A1:GB192"/>
  <sheetViews>
    <sheetView workbookViewId="0"/>
  </sheetViews>
  <sheetFormatPr baseColWidth="10" defaultColWidth="11.33203125" defaultRowHeight="14.4"/>
  <cols>
    <col min="1" max="1" width="25.6640625" style="168" customWidth="1"/>
    <col min="2" max="2" width="26.44140625" style="189" customWidth="1"/>
    <col min="3" max="3" width="23.44140625" style="168" customWidth="1"/>
    <col min="4" max="4" width="13.6640625" style="168" customWidth="1"/>
    <col min="5" max="6" width="20.6640625" style="168" bestFit="1" customWidth="1"/>
    <col min="7" max="7" width="20.5546875" style="168" bestFit="1" customWidth="1"/>
    <col min="8" max="8" width="21" style="168" bestFit="1" customWidth="1"/>
    <col min="9" max="9" width="20.6640625" style="168" bestFit="1" customWidth="1"/>
    <col min="10" max="10" width="20.5546875" style="168" bestFit="1" customWidth="1"/>
    <col min="11" max="11" width="21" style="168" bestFit="1" customWidth="1"/>
    <col min="12" max="12" width="13.6640625" style="168" customWidth="1"/>
    <col min="13" max="13" width="20.6640625" style="167" bestFit="1" customWidth="1"/>
    <col min="14" max="14" width="20.5546875" style="167" bestFit="1" customWidth="1"/>
    <col min="15" max="15" width="21" style="167" bestFit="1" customWidth="1"/>
    <col min="16" max="16" width="13.6640625" style="167" customWidth="1"/>
    <col min="17" max="17" width="20.6640625" style="167" bestFit="1" customWidth="1"/>
    <col min="18" max="18" width="20.5546875" style="167" bestFit="1" customWidth="1"/>
    <col min="19" max="19" width="21" style="167" bestFit="1" customWidth="1"/>
    <col min="20" max="20" width="13.6640625" style="167" customWidth="1"/>
    <col min="21" max="21" width="20.6640625" style="167" bestFit="1" customWidth="1"/>
    <col min="22" max="22" width="20.5546875" style="167" bestFit="1" customWidth="1"/>
    <col min="23" max="23" width="21" style="167" bestFit="1" customWidth="1"/>
    <col min="24" max="24" width="13.6640625" style="168" customWidth="1"/>
    <col min="25" max="25" width="20.6640625" style="168" bestFit="1" customWidth="1"/>
    <col min="26" max="26" width="20.5546875" style="168" bestFit="1" customWidth="1"/>
    <col min="27" max="27" width="21" style="168" bestFit="1" customWidth="1"/>
    <col min="28" max="28" width="13.6640625" style="168" customWidth="1"/>
    <col min="29" max="29" width="20.6640625" style="168" bestFit="1" customWidth="1"/>
    <col min="30" max="30" width="20.5546875" style="168" bestFit="1" customWidth="1"/>
    <col min="31" max="31" width="21" style="168" bestFit="1" customWidth="1"/>
    <col min="32" max="32" width="13.6640625" style="168" customWidth="1"/>
    <col min="33" max="16384" width="11.33203125" style="168"/>
  </cols>
  <sheetData>
    <row r="1" spans="1:184" s="164" customFormat="1" ht="10.199999999999999">
      <c r="A1" s="164" t="s">
        <v>1606</v>
      </c>
    </row>
    <row r="2" spans="1:184" ht="21">
      <c r="A2" s="165" t="s">
        <v>1931</v>
      </c>
      <c r="B2" s="165"/>
      <c r="C2" s="165"/>
      <c r="D2" s="165"/>
      <c r="E2" s="165"/>
      <c r="F2" s="167"/>
      <c r="G2" s="167"/>
      <c r="H2" s="167"/>
      <c r="I2" s="167"/>
      <c r="J2" s="167"/>
      <c r="K2" s="167"/>
      <c r="L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c r="FL2" s="167"/>
      <c r="FM2" s="167"/>
      <c r="FN2" s="167"/>
      <c r="FO2" s="167"/>
      <c r="FP2" s="167"/>
      <c r="FQ2" s="167"/>
      <c r="FR2" s="167"/>
      <c r="FS2" s="167"/>
      <c r="FT2" s="167"/>
      <c r="FU2" s="167"/>
      <c r="FV2" s="167"/>
      <c r="FW2" s="167"/>
      <c r="FX2" s="167"/>
      <c r="FY2" s="167"/>
      <c r="FZ2" s="167"/>
      <c r="GA2" s="167"/>
      <c r="GB2" s="167"/>
    </row>
    <row r="3" spans="1:184">
      <c r="A3" s="169" t="s">
        <v>1608</v>
      </c>
      <c r="B3" s="188"/>
      <c r="C3" s="167"/>
      <c r="D3" s="167"/>
      <c r="E3" s="167"/>
      <c r="F3" s="167"/>
      <c r="G3" s="167"/>
      <c r="H3" s="167"/>
      <c r="I3" s="167"/>
      <c r="J3" s="167"/>
      <c r="K3" s="167"/>
      <c r="L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c r="FL3" s="167"/>
      <c r="FM3" s="167"/>
      <c r="FN3" s="167"/>
      <c r="FO3" s="167"/>
      <c r="FP3" s="167"/>
      <c r="FQ3" s="167"/>
      <c r="FR3" s="167"/>
      <c r="FS3" s="167"/>
      <c r="FT3" s="167"/>
      <c r="FU3" s="167"/>
      <c r="FV3" s="167"/>
      <c r="FW3" s="167"/>
      <c r="FX3" s="167"/>
      <c r="FY3" s="167"/>
      <c r="FZ3" s="167"/>
      <c r="GA3" s="167"/>
      <c r="GB3" s="167"/>
    </row>
    <row r="4" spans="1:184" s="174" customFormat="1" ht="7.2" thickBot="1">
      <c r="B4" s="205"/>
    </row>
    <row r="5" spans="1:184" ht="15" thickTop="1">
      <c r="A5" s="177" t="s">
        <v>1609</v>
      </c>
      <c r="B5" s="178" t="s">
        <v>1931</v>
      </c>
      <c r="C5" s="177" t="s">
        <v>1610</v>
      </c>
      <c r="D5" s="179">
        <v>45818</v>
      </c>
      <c r="E5" s="207" t="s">
        <v>1611</v>
      </c>
      <c r="F5" s="179" t="s">
        <v>1612</v>
      </c>
      <c r="G5" s="167"/>
      <c r="H5" s="167"/>
      <c r="I5" s="167"/>
      <c r="J5" s="167"/>
      <c r="K5" s="167"/>
      <c r="L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row>
    <row r="6" spans="1:184" ht="15" thickBot="1">
      <c r="A6" s="182" t="s">
        <v>1613</v>
      </c>
      <c r="B6" s="183" t="s">
        <v>1614</v>
      </c>
      <c r="C6" s="184" t="s">
        <v>1615</v>
      </c>
      <c r="D6" s="231">
        <v>1.1000000000000001</v>
      </c>
      <c r="E6" s="184" t="s">
        <v>1616</v>
      </c>
      <c r="F6" s="209">
        <v>2024</v>
      </c>
      <c r="G6" s="167"/>
      <c r="H6" s="167"/>
      <c r="I6" s="167"/>
      <c r="J6" s="167"/>
      <c r="K6" s="167"/>
      <c r="L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row>
    <row r="7" spans="1:184" ht="15.6" thickTop="1" thickBot="1">
      <c r="A7" s="167"/>
      <c r="B7" s="188"/>
      <c r="C7" s="167"/>
      <c r="D7" s="167"/>
      <c r="E7" s="167"/>
      <c r="F7" s="167"/>
      <c r="G7" s="167"/>
      <c r="H7" s="167"/>
      <c r="I7" s="167"/>
      <c r="J7" s="167"/>
      <c r="K7" s="167"/>
      <c r="L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row>
    <row r="8" spans="1:184" ht="34.5" customHeight="1" thickTop="1" thickBot="1">
      <c r="A8" s="665" t="s">
        <v>2079</v>
      </c>
      <c r="B8" s="666"/>
      <c r="C8" s="666"/>
      <c r="D8" s="666"/>
      <c r="E8" s="666"/>
      <c r="F8" s="666"/>
      <c r="G8" s="666"/>
      <c r="H8" s="666"/>
      <c r="I8" s="666"/>
      <c r="J8" s="666"/>
      <c r="K8" s="666"/>
      <c r="L8" s="6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row>
    <row r="9" spans="1:184" ht="15" thickTop="1">
      <c r="A9" s="668"/>
      <c r="B9" s="677"/>
      <c r="C9" s="677"/>
      <c r="D9" s="677"/>
      <c r="E9" s="677"/>
      <c r="F9" s="677"/>
      <c r="G9" s="677"/>
      <c r="H9" s="677"/>
      <c r="I9" s="677"/>
      <c r="J9" s="677"/>
      <c r="K9" s="677"/>
      <c r="L9" s="67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row>
    <row r="10" spans="1:184" s="167" customFormat="1" ht="15" customHeight="1">
      <c r="A10" s="669" t="s">
        <v>1618</v>
      </c>
      <c r="B10" s="669"/>
      <c r="C10" s="669"/>
      <c r="D10" s="669"/>
      <c r="E10" s="669"/>
      <c r="F10" s="669"/>
      <c r="G10" s="669"/>
      <c r="H10" s="669"/>
      <c r="I10" s="669"/>
      <c r="J10" s="669"/>
      <c r="K10" s="669"/>
      <c r="L10" s="669"/>
    </row>
    <row r="11" spans="1:184" s="305" customFormat="1" ht="18.75" customHeight="1">
      <c r="A11" s="713" t="s">
        <v>2080</v>
      </c>
      <c r="B11" s="713"/>
      <c r="C11" s="713"/>
      <c r="D11" s="713"/>
      <c r="E11" s="713"/>
      <c r="F11" s="713"/>
      <c r="G11" s="713"/>
      <c r="H11" s="713"/>
      <c r="I11" s="713"/>
      <c r="J11" s="713"/>
      <c r="K11" s="713"/>
      <c r="L11" s="713"/>
    </row>
    <row r="12" spans="1:184" s="305" customFormat="1" ht="41.1" customHeight="1">
      <c r="A12" s="713" t="s">
        <v>2081</v>
      </c>
      <c r="B12" s="713"/>
      <c r="C12" s="713"/>
      <c r="D12" s="713"/>
      <c r="E12" s="713"/>
      <c r="F12" s="713"/>
      <c r="G12" s="713"/>
      <c r="H12" s="713"/>
      <c r="I12" s="713"/>
      <c r="J12" s="713"/>
      <c r="K12" s="713"/>
      <c r="L12" s="713"/>
    </row>
    <row r="13" spans="1:184" s="167" customFormat="1" ht="20.100000000000001" customHeight="1">
      <c r="A13" s="713" t="s">
        <v>2082</v>
      </c>
      <c r="B13" s="713"/>
      <c r="C13" s="713"/>
      <c r="D13" s="713"/>
      <c r="E13" s="713"/>
      <c r="F13" s="713"/>
      <c r="G13" s="713"/>
      <c r="H13" s="713"/>
      <c r="I13" s="713"/>
      <c r="J13" s="713"/>
      <c r="K13" s="713"/>
      <c r="L13" s="713"/>
    </row>
    <row r="14" spans="1:184" s="305" customFormat="1" ht="75" customHeight="1">
      <c r="A14" s="713" t="s">
        <v>2083</v>
      </c>
      <c r="B14" s="713"/>
      <c r="C14" s="713"/>
      <c r="D14" s="713"/>
      <c r="E14" s="713"/>
      <c r="F14" s="713"/>
      <c r="G14" s="713"/>
      <c r="H14" s="713"/>
      <c r="I14" s="713"/>
      <c r="J14" s="713"/>
      <c r="K14" s="713"/>
      <c r="L14" s="713"/>
    </row>
    <row r="15" spans="1:184" ht="27.6" customHeight="1">
      <c r="A15" s="713" t="s">
        <v>2084</v>
      </c>
      <c r="B15" s="713"/>
      <c r="C15" s="713"/>
      <c r="D15" s="713"/>
      <c r="E15" s="713"/>
      <c r="F15" s="713"/>
      <c r="G15" s="713"/>
      <c r="H15" s="713"/>
      <c r="I15" s="713"/>
      <c r="J15" s="713"/>
      <c r="K15" s="713"/>
      <c r="L15" s="713"/>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row>
    <row r="16" spans="1:184" s="305" customFormat="1" ht="21.75" customHeight="1">
      <c r="A16" s="757" t="s">
        <v>2085</v>
      </c>
      <c r="B16" s="757"/>
      <c r="C16" s="757"/>
      <c r="D16" s="757"/>
      <c r="E16" s="757"/>
      <c r="F16" s="757"/>
      <c r="G16" s="757"/>
      <c r="H16" s="757"/>
      <c r="I16" s="757"/>
      <c r="J16" s="757"/>
      <c r="K16" s="757"/>
      <c r="L16" s="757"/>
    </row>
    <row r="17" spans="1:32" s="305" customFormat="1" ht="19.5" customHeight="1">
      <c r="A17" s="739" t="s">
        <v>2086</v>
      </c>
      <c r="B17" s="739"/>
      <c r="C17" s="739"/>
      <c r="D17" s="739"/>
      <c r="E17" s="739"/>
      <c r="F17" s="739"/>
      <c r="G17" s="739"/>
      <c r="H17" s="739"/>
      <c r="I17" s="739"/>
      <c r="J17" s="739"/>
      <c r="K17" s="739"/>
      <c r="L17" s="739"/>
    </row>
    <row r="18" spans="1:32" s="194" customFormat="1" ht="20.25" customHeight="1">
      <c r="A18" s="686" t="s">
        <v>2087</v>
      </c>
      <c r="B18" s="686"/>
      <c r="C18" s="686"/>
      <c r="D18" s="686"/>
      <c r="E18" s="686"/>
      <c r="F18" s="686"/>
      <c r="G18" s="686"/>
      <c r="H18" s="686"/>
      <c r="I18" s="686"/>
      <c r="J18" s="686"/>
      <c r="K18" s="686"/>
      <c r="L18" s="686"/>
    </row>
    <row r="19" spans="1:32" s="194" customFormat="1" ht="33.75" customHeight="1">
      <c r="A19" s="686" t="s">
        <v>2088</v>
      </c>
      <c r="B19" s="686"/>
      <c r="C19" s="686"/>
      <c r="D19" s="686"/>
      <c r="E19" s="686"/>
      <c r="F19" s="686"/>
      <c r="G19" s="686"/>
      <c r="H19" s="686"/>
      <c r="I19" s="686"/>
      <c r="J19" s="686"/>
      <c r="K19" s="686"/>
      <c r="L19" s="686"/>
    </row>
    <row r="20" spans="1:32" s="194" customFormat="1" ht="28.5" customHeight="1">
      <c r="A20" s="686" t="s">
        <v>2089</v>
      </c>
      <c r="B20" s="686"/>
      <c r="C20" s="686"/>
      <c r="D20" s="686"/>
      <c r="E20" s="686"/>
      <c r="F20" s="686"/>
      <c r="G20" s="686"/>
      <c r="H20" s="686"/>
      <c r="I20" s="686"/>
      <c r="J20" s="686"/>
      <c r="K20" s="686"/>
      <c r="L20" s="686"/>
    </row>
    <row r="21" spans="1:32" s="194" customFormat="1" ht="31.5" customHeight="1">
      <c r="A21" s="686" t="s">
        <v>2090</v>
      </c>
      <c r="B21" s="686"/>
      <c r="C21" s="686"/>
      <c r="D21" s="686"/>
      <c r="E21" s="686"/>
      <c r="F21" s="686"/>
      <c r="G21" s="686"/>
      <c r="H21" s="686"/>
      <c r="I21" s="686"/>
      <c r="J21" s="686"/>
      <c r="K21" s="686"/>
      <c r="L21" s="686"/>
      <c r="N21" s="223"/>
    </row>
    <row r="22" spans="1:32" s="167" customFormat="1" ht="10.5" customHeight="1">
      <c r="A22" s="190"/>
      <c r="B22" s="190"/>
      <c r="C22" s="190"/>
      <c r="D22" s="190"/>
      <c r="E22" s="190"/>
      <c r="F22" s="190"/>
      <c r="G22" s="190"/>
      <c r="H22" s="190"/>
      <c r="I22" s="190"/>
      <c r="J22" s="190"/>
      <c r="K22" s="190"/>
      <c r="L22" s="190"/>
    </row>
    <row r="23" spans="1:32" s="167" customFormat="1">
      <c r="A23" s="306"/>
      <c r="B23" s="306"/>
      <c r="C23" s="306"/>
      <c r="D23" s="215"/>
      <c r="E23" s="215"/>
      <c r="F23" s="251" t="s">
        <v>1945</v>
      </c>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row>
    <row r="24" spans="1:32" s="194" customFormat="1" ht="15" customHeight="1">
      <c r="A24" s="235"/>
      <c r="B24" s="216"/>
      <c r="D24" s="723" t="s">
        <v>607</v>
      </c>
      <c r="E24" s="723"/>
      <c r="F24" s="723"/>
      <c r="G24" s="723"/>
      <c r="H24" s="723" t="s">
        <v>1946</v>
      </c>
      <c r="I24" s="723"/>
      <c r="J24" s="723"/>
      <c r="K24" s="723"/>
      <c r="L24" s="723" t="s">
        <v>1700</v>
      </c>
      <c r="M24" s="723"/>
      <c r="N24" s="723"/>
      <c r="O24" s="723"/>
      <c r="P24" s="723" t="s">
        <v>1702</v>
      </c>
      <c r="Q24" s="723"/>
      <c r="R24" s="723"/>
      <c r="S24" s="723"/>
      <c r="T24" s="723" t="s">
        <v>1948</v>
      </c>
      <c r="U24" s="723"/>
      <c r="V24" s="723"/>
      <c r="W24" s="723"/>
      <c r="X24" s="758" t="s">
        <v>1949</v>
      </c>
      <c r="Y24" s="758"/>
      <c r="Z24" s="758"/>
      <c r="AA24" s="758"/>
      <c r="AB24" s="758" t="s">
        <v>1950</v>
      </c>
      <c r="AC24" s="758"/>
      <c r="AD24" s="758"/>
      <c r="AE24" s="758"/>
    </row>
    <row r="25" spans="1:32" s="194" customFormat="1" ht="15.6">
      <c r="A25" s="232" t="s">
        <v>1629</v>
      </c>
      <c r="B25" s="212" t="s">
        <v>1771</v>
      </c>
      <c r="C25" s="196" t="s">
        <v>1631</v>
      </c>
      <c r="D25" s="198" t="s">
        <v>1632</v>
      </c>
      <c r="E25" s="198" t="s">
        <v>1903</v>
      </c>
      <c r="F25" s="198" t="s">
        <v>1904</v>
      </c>
      <c r="G25" s="198" t="s">
        <v>1905</v>
      </c>
      <c r="H25" s="198" t="s">
        <v>1632</v>
      </c>
      <c r="I25" s="198" t="s">
        <v>1903</v>
      </c>
      <c r="J25" s="198" t="s">
        <v>1904</v>
      </c>
      <c r="K25" s="198" t="s">
        <v>1905</v>
      </c>
      <c r="L25" s="198" t="s">
        <v>1632</v>
      </c>
      <c r="M25" s="198" t="s">
        <v>1903</v>
      </c>
      <c r="N25" s="198" t="s">
        <v>1904</v>
      </c>
      <c r="O25" s="198" t="s">
        <v>1905</v>
      </c>
      <c r="P25" s="198" t="s">
        <v>1632</v>
      </c>
      <c r="Q25" s="198" t="s">
        <v>1903</v>
      </c>
      <c r="R25" s="198" t="s">
        <v>1904</v>
      </c>
      <c r="S25" s="198" t="s">
        <v>1905</v>
      </c>
      <c r="T25" s="198" t="s">
        <v>1632</v>
      </c>
      <c r="U25" s="198" t="s">
        <v>1903</v>
      </c>
      <c r="V25" s="198" t="s">
        <v>1904</v>
      </c>
      <c r="W25" s="198" t="s">
        <v>1905</v>
      </c>
      <c r="X25" s="198" t="s">
        <v>1632</v>
      </c>
      <c r="Y25" s="198" t="s">
        <v>1903</v>
      </c>
      <c r="Z25" s="198" t="s">
        <v>1904</v>
      </c>
      <c r="AA25" s="198" t="s">
        <v>1905</v>
      </c>
      <c r="AB25" s="198" t="s">
        <v>1632</v>
      </c>
      <c r="AC25" s="198" t="s">
        <v>1903</v>
      </c>
      <c r="AD25" s="198" t="s">
        <v>1904</v>
      </c>
      <c r="AE25" s="198" t="s">
        <v>1905</v>
      </c>
      <c r="AF25" s="215"/>
    </row>
    <row r="26" spans="1:32" s="194" customFormat="1">
      <c r="A26" s="699" t="s">
        <v>2091</v>
      </c>
      <c r="B26" s="683" t="s">
        <v>2092</v>
      </c>
      <c r="C26" s="198" t="s">
        <v>2093</v>
      </c>
      <c r="D26" s="227">
        <v>0.85353000000000001</v>
      </c>
      <c r="E26" s="227">
        <v>0.84431999999999996</v>
      </c>
      <c r="F26" s="227">
        <v>2.0000000000000002E-5</v>
      </c>
      <c r="G26" s="227">
        <v>9.1900000000000003E-3</v>
      </c>
      <c r="H26" s="227">
        <v>1.17394</v>
      </c>
      <c r="I26" s="227">
        <v>1.1701600000000001</v>
      </c>
      <c r="J26" s="227">
        <v>1.4300000000000001E-3</v>
      </c>
      <c r="K26" s="227">
        <v>2.3500000000000001E-3</v>
      </c>
      <c r="L26" s="218"/>
      <c r="M26" s="218"/>
      <c r="N26" s="218"/>
      <c r="O26" s="218"/>
      <c r="P26" s="218"/>
      <c r="Q26" s="218"/>
      <c r="R26" s="218"/>
      <c r="S26" s="218"/>
      <c r="T26" s="218"/>
      <c r="U26" s="218"/>
      <c r="V26" s="218"/>
      <c r="W26" s="218"/>
      <c r="X26" s="218"/>
      <c r="Y26" s="218"/>
      <c r="Z26" s="218"/>
      <c r="AA26" s="218"/>
      <c r="AB26" s="227">
        <v>0.15753</v>
      </c>
      <c r="AC26" s="227">
        <v>0.15567</v>
      </c>
      <c r="AD26" s="227">
        <v>7.7999999999999999E-4</v>
      </c>
      <c r="AE26" s="227">
        <v>1.08E-3</v>
      </c>
      <c r="AF26" s="215"/>
    </row>
    <row r="27" spans="1:32" s="194" customFormat="1">
      <c r="A27" s="699"/>
      <c r="B27" s="683"/>
      <c r="C27" s="198" t="s">
        <v>1953</v>
      </c>
      <c r="D27" s="227">
        <v>0.15356</v>
      </c>
      <c r="E27" s="227">
        <v>0.15190999999999999</v>
      </c>
      <c r="F27" s="253">
        <v>4.8607767053859851E-6</v>
      </c>
      <c r="G27" s="227">
        <v>1.65E-3</v>
      </c>
      <c r="H27" s="227">
        <v>0.20071</v>
      </c>
      <c r="I27" s="227">
        <v>0.2</v>
      </c>
      <c r="J27" s="227">
        <v>2.7E-4</v>
      </c>
      <c r="K27" s="227">
        <v>4.4000000000000002E-4</v>
      </c>
      <c r="L27" s="218"/>
      <c r="M27" s="218"/>
      <c r="N27" s="218"/>
      <c r="O27" s="218"/>
      <c r="P27" s="218"/>
      <c r="Q27" s="218"/>
      <c r="R27" s="218"/>
      <c r="S27" s="218"/>
      <c r="T27" s="218"/>
      <c r="U27" s="218"/>
      <c r="V27" s="218"/>
      <c r="W27" s="218"/>
      <c r="X27" s="218"/>
      <c r="Y27" s="218"/>
      <c r="Z27" s="218"/>
      <c r="AA27" s="218"/>
      <c r="AB27" s="227">
        <v>4.2540000000000001E-2</v>
      </c>
      <c r="AC27" s="227">
        <v>4.215E-2</v>
      </c>
      <c r="AD27" s="227">
        <v>1.7000000000000001E-4</v>
      </c>
      <c r="AE27" s="227">
        <v>2.2000000000000001E-4</v>
      </c>
      <c r="AF27" s="215"/>
    </row>
    <row r="28" spans="1:32" s="194" customFormat="1">
      <c r="A28" s="699"/>
      <c r="B28" s="683"/>
      <c r="C28" s="198" t="s">
        <v>1954</v>
      </c>
      <c r="D28" s="227">
        <v>0.24715999999999999</v>
      </c>
      <c r="E28" s="227">
        <v>0.24448</v>
      </c>
      <c r="F28" s="227">
        <v>1.0000000000000001E-5</v>
      </c>
      <c r="G28" s="227">
        <v>2.6700000000000001E-3</v>
      </c>
      <c r="H28" s="227">
        <v>0.32299</v>
      </c>
      <c r="I28" s="227">
        <v>0.32185999999999998</v>
      </c>
      <c r="J28" s="227">
        <v>4.2999999999999999E-4</v>
      </c>
      <c r="K28" s="227">
        <v>6.9999999999999999E-4</v>
      </c>
      <c r="L28" s="218"/>
      <c r="M28" s="218"/>
      <c r="N28" s="218"/>
      <c r="O28" s="218"/>
      <c r="P28" s="218"/>
      <c r="Q28" s="218"/>
      <c r="R28" s="218"/>
      <c r="S28" s="218"/>
      <c r="T28" s="218"/>
      <c r="U28" s="218"/>
      <c r="V28" s="218"/>
      <c r="W28" s="218"/>
      <c r="X28" s="218"/>
      <c r="Y28" s="218"/>
      <c r="Z28" s="218"/>
      <c r="AA28" s="218"/>
      <c r="AB28" s="227">
        <v>6.8470000000000003E-2</v>
      </c>
      <c r="AC28" s="227">
        <v>6.7839999999999998E-2</v>
      </c>
      <c r="AD28" s="227">
        <v>2.7E-4</v>
      </c>
      <c r="AE28" s="227">
        <v>3.6000000000000002E-4</v>
      </c>
      <c r="AF28" s="215"/>
    </row>
    <row r="29" spans="1:32" s="194" customFormat="1">
      <c r="A29" s="699"/>
      <c r="B29" s="683" t="s">
        <v>2094</v>
      </c>
      <c r="C29" s="198" t="s">
        <v>2093</v>
      </c>
      <c r="D29" s="227">
        <v>0.61153000000000002</v>
      </c>
      <c r="E29" s="227">
        <v>0.60584000000000005</v>
      </c>
      <c r="F29" s="227">
        <v>1.0000000000000001E-5</v>
      </c>
      <c r="G29" s="227">
        <v>5.6800000000000002E-3</v>
      </c>
      <c r="H29" s="227">
        <v>0.82738999999999996</v>
      </c>
      <c r="I29" s="227">
        <v>0.82482999999999995</v>
      </c>
      <c r="J29" s="227">
        <v>9.7000000000000005E-4</v>
      </c>
      <c r="K29" s="227">
        <v>1.5900000000000001E-3</v>
      </c>
      <c r="L29" s="218"/>
      <c r="M29" s="218"/>
      <c r="N29" s="218"/>
      <c r="O29" s="218"/>
      <c r="P29" s="218"/>
      <c r="Q29" s="218"/>
      <c r="R29" s="218"/>
      <c r="S29" s="218"/>
      <c r="T29" s="218"/>
      <c r="U29" s="218"/>
      <c r="V29" s="218"/>
      <c r="W29" s="218"/>
      <c r="X29" s="218"/>
      <c r="Y29" s="218"/>
      <c r="Z29" s="218"/>
      <c r="AA29" s="218"/>
      <c r="AB29" s="227">
        <v>0.27927000000000002</v>
      </c>
      <c r="AC29" s="227">
        <v>0.27683000000000002</v>
      </c>
      <c r="AD29" s="227">
        <v>1.0300000000000001E-3</v>
      </c>
      <c r="AE29" s="227">
        <v>1.41E-3</v>
      </c>
      <c r="AF29" s="215"/>
    </row>
    <row r="30" spans="1:32" s="194" customFormat="1">
      <c r="A30" s="699"/>
      <c r="B30" s="683"/>
      <c r="C30" s="198" t="s">
        <v>1953</v>
      </c>
      <c r="D30" s="227">
        <v>0.18831999999999999</v>
      </c>
      <c r="E30" s="227">
        <v>0.18667</v>
      </c>
      <c r="F30" s="253">
        <v>4.8607767053859851E-6</v>
      </c>
      <c r="G30" s="227">
        <v>1.65E-3</v>
      </c>
      <c r="H30" s="227">
        <v>0.21709000000000001</v>
      </c>
      <c r="I30" s="227">
        <v>0.21637999999999999</v>
      </c>
      <c r="J30" s="227">
        <v>2.7E-4</v>
      </c>
      <c r="K30" s="227">
        <v>4.4000000000000002E-4</v>
      </c>
      <c r="L30" s="218"/>
      <c r="M30" s="218"/>
      <c r="N30" s="218"/>
      <c r="O30" s="218"/>
      <c r="P30" s="218"/>
      <c r="Q30" s="218"/>
      <c r="R30" s="218"/>
      <c r="S30" s="218"/>
      <c r="T30" s="218"/>
      <c r="U30" s="218"/>
      <c r="V30" s="218"/>
      <c r="W30" s="218"/>
      <c r="X30" s="218"/>
      <c r="Y30" s="218"/>
      <c r="Z30" s="218"/>
      <c r="AA30" s="218"/>
      <c r="AB30" s="227">
        <v>6.5559999999999993E-2</v>
      </c>
      <c r="AC30" s="227">
        <v>6.5030000000000004E-2</v>
      </c>
      <c r="AD30" s="227">
        <v>2.2000000000000001E-4</v>
      </c>
      <c r="AE30" s="227">
        <v>3.1E-4</v>
      </c>
      <c r="AF30" s="215"/>
    </row>
    <row r="31" spans="1:32" s="194" customFormat="1">
      <c r="A31" s="699"/>
      <c r="B31" s="683"/>
      <c r="C31" s="198" t="s">
        <v>1954</v>
      </c>
      <c r="D31" s="227">
        <v>0.30309000000000003</v>
      </c>
      <c r="E31" s="227">
        <v>0.30041000000000001</v>
      </c>
      <c r="F31" s="227">
        <v>1.0000000000000001E-5</v>
      </c>
      <c r="G31" s="227">
        <v>2.6700000000000001E-3</v>
      </c>
      <c r="H31" s="227">
        <v>0.34936</v>
      </c>
      <c r="I31" s="227">
        <v>0.34822999999999998</v>
      </c>
      <c r="J31" s="227">
        <v>4.2999999999999999E-4</v>
      </c>
      <c r="K31" s="227">
        <v>6.9999999999999999E-4</v>
      </c>
      <c r="L31" s="218"/>
      <c r="M31" s="218"/>
      <c r="N31" s="218"/>
      <c r="O31" s="218"/>
      <c r="P31" s="218"/>
      <c r="Q31" s="218"/>
      <c r="R31" s="218"/>
      <c r="S31" s="218"/>
      <c r="T31" s="218"/>
      <c r="U31" s="218"/>
      <c r="V31" s="218"/>
      <c r="W31" s="218"/>
      <c r="X31" s="218"/>
      <c r="Y31" s="218"/>
      <c r="Z31" s="218"/>
      <c r="AA31" s="218"/>
      <c r="AB31" s="227">
        <v>0.10553</v>
      </c>
      <c r="AC31" s="227">
        <v>0.10465000000000001</v>
      </c>
      <c r="AD31" s="227">
        <v>3.6999999999999999E-4</v>
      </c>
      <c r="AE31" s="227">
        <v>5.1000000000000004E-4</v>
      </c>
      <c r="AF31" s="215"/>
    </row>
    <row r="32" spans="1:32" s="194" customFormat="1">
      <c r="A32" s="699"/>
      <c r="B32" s="683" t="s">
        <v>2095</v>
      </c>
      <c r="C32" s="198" t="s">
        <v>2093</v>
      </c>
      <c r="D32" s="227">
        <v>0.61363000000000001</v>
      </c>
      <c r="E32" s="227">
        <v>0.60992000000000002</v>
      </c>
      <c r="F32" s="227">
        <v>1.0000000000000001E-5</v>
      </c>
      <c r="G32" s="227">
        <v>3.7000000000000002E-3</v>
      </c>
      <c r="H32" s="227">
        <v>0.86251999999999995</v>
      </c>
      <c r="I32" s="227">
        <v>0.86077999999999999</v>
      </c>
      <c r="J32" s="227">
        <v>6.6E-4</v>
      </c>
      <c r="K32" s="227">
        <v>1.08E-3</v>
      </c>
      <c r="L32" s="218"/>
      <c r="M32" s="218"/>
      <c r="N32" s="218"/>
      <c r="O32" s="218"/>
      <c r="P32" s="218"/>
      <c r="Q32" s="218"/>
      <c r="R32" s="218"/>
      <c r="S32" s="218"/>
      <c r="T32" s="218"/>
      <c r="U32" s="218"/>
      <c r="V32" s="218"/>
      <c r="W32" s="218"/>
      <c r="X32" s="227">
        <v>0.37952000000000002</v>
      </c>
      <c r="Y32" s="227">
        <v>0.37453999999999998</v>
      </c>
      <c r="Z32" s="227">
        <v>2.2000000000000001E-4</v>
      </c>
      <c r="AA32" s="227">
        <v>4.7600000000000003E-3</v>
      </c>
      <c r="AB32" s="227">
        <v>0.23666000000000001</v>
      </c>
      <c r="AC32" s="227">
        <v>0.23438000000000001</v>
      </c>
      <c r="AD32" s="227">
        <v>9.6000000000000002E-4</v>
      </c>
      <c r="AE32" s="227">
        <v>1.32E-3</v>
      </c>
      <c r="AF32" s="215"/>
    </row>
    <row r="33" spans="1:32" s="194" customFormat="1">
      <c r="A33" s="699"/>
      <c r="B33" s="683"/>
      <c r="C33" s="198" t="s">
        <v>1953</v>
      </c>
      <c r="D33" s="227">
        <v>0.27365</v>
      </c>
      <c r="E33" s="227">
        <v>0.27200000000000002</v>
      </c>
      <c r="F33" s="253">
        <v>4.8607767053859851E-6</v>
      </c>
      <c r="G33" s="227">
        <v>1.65E-3</v>
      </c>
      <c r="H33" s="227">
        <v>0.34922999999999998</v>
      </c>
      <c r="I33" s="227">
        <v>0.34852</v>
      </c>
      <c r="J33" s="227">
        <v>2.7E-4</v>
      </c>
      <c r="K33" s="227">
        <v>4.4000000000000002E-4</v>
      </c>
      <c r="L33" s="218"/>
      <c r="M33" s="218"/>
      <c r="N33" s="218"/>
      <c r="O33" s="218"/>
      <c r="P33" s="218"/>
      <c r="Q33" s="218"/>
      <c r="R33" s="218"/>
      <c r="S33" s="218"/>
      <c r="T33" s="218"/>
      <c r="U33" s="218"/>
      <c r="V33" s="218"/>
      <c r="W33" s="218"/>
      <c r="X33" s="227">
        <v>0.15079000000000001</v>
      </c>
      <c r="Y33" s="227">
        <v>0.14881</v>
      </c>
      <c r="Z33" s="227">
        <v>9.0000000000000006E-5</v>
      </c>
      <c r="AA33" s="227">
        <v>1.89E-3</v>
      </c>
      <c r="AB33" s="227">
        <v>8.9289999999999994E-2</v>
      </c>
      <c r="AC33" s="227">
        <v>8.8529999999999998E-2</v>
      </c>
      <c r="AD33" s="227">
        <v>3.2000000000000003E-4</v>
      </c>
      <c r="AE33" s="227">
        <v>4.4000000000000002E-4</v>
      </c>
      <c r="AF33" s="215"/>
    </row>
    <row r="34" spans="1:32" s="194" customFormat="1">
      <c r="A34" s="699"/>
      <c r="B34" s="683"/>
      <c r="C34" s="198" t="s">
        <v>1954</v>
      </c>
      <c r="D34" s="227">
        <v>0.44041999999999998</v>
      </c>
      <c r="E34" s="227">
        <v>0.43774000000000002</v>
      </c>
      <c r="F34" s="227">
        <v>1.0000000000000001E-5</v>
      </c>
      <c r="G34" s="227">
        <v>2.6700000000000001E-3</v>
      </c>
      <c r="H34" s="227">
        <v>0.56201000000000001</v>
      </c>
      <c r="I34" s="227">
        <v>0.56088000000000005</v>
      </c>
      <c r="J34" s="227">
        <v>4.2999999999999999E-4</v>
      </c>
      <c r="K34" s="227">
        <v>6.9999999999999999E-4</v>
      </c>
      <c r="L34" s="218"/>
      <c r="M34" s="218"/>
      <c r="N34" s="218"/>
      <c r="O34" s="218"/>
      <c r="P34" s="218"/>
      <c r="Q34" s="218"/>
      <c r="R34" s="218"/>
      <c r="S34" s="218"/>
      <c r="T34" s="218"/>
      <c r="U34" s="218"/>
      <c r="V34" s="218"/>
      <c r="W34" s="218"/>
      <c r="X34" s="227">
        <v>0.24267</v>
      </c>
      <c r="Y34" s="227">
        <v>0.23948</v>
      </c>
      <c r="Z34" s="227">
        <v>1.4999999999999999E-4</v>
      </c>
      <c r="AA34" s="227">
        <v>3.0400000000000002E-3</v>
      </c>
      <c r="AB34" s="227">
        <v>0.14369000000000001</v>
      </c>
      <c r="AC34" s="227">
        <v>0.14247000000000001</v>
      </c>
      <c r="AD34" s="227">
        <v>5.1999999999999995E-4</v>
      </c>
      <c r="AE34" s="227">
        <v>6.9999999999999999E-4</v>
      </c>
      <c r="AF34" s="215"/>
    </row>
    <row r="35" spans="1:32" s="194" customFormat="1">
      <c r="A35" s="699"/>
      <c r="B35" s="683" t="s">
        <v>2096</v>
      </c>
      <c r="C35" s="198" t="s">
        <v>2093</v>
      </c>
      <c r="D35" s="227">
        <v>0.61643000000000003</v>
      </c>
      <c r="E35" s="227">
        <v>0.61228000000000005</v>
      </c>
      <c r="F35" s="227">
        <v>1.0000000000000001E-5</v>
      </c>
      <c r="G35" s="227">
        <v>4.1399999999999996E-3</v>
      </c>
      <c r="H35" s="227">
        <v>0.81972</v>
      </c>
      <c r="I35" s="227">
        <v>0.81732000000000005</v>
      </c>
      <c r="J35" s="227">
        <v>9.1E-4</v>
      </c>
      <c r="K35" s="227">
        <v>1.49E-3</v>
      </c>
      <c r="L35" s="227">
        <v>0.62197000000000002</v>
      </c>
      <c r="M35" s="227">
        <v>0.61743000000000003</v>
      </c>
      <c r="N35" s="227">
        <v>3.3E-3</v>
      </c>
      <c r="O35" s="227">
        <v>1.24E-3</v>
      </c>
      <c r="P35" s="227">
        <v>0.68376000000000003</v>
      </c>
      <c r="Q35" s="227">
        <v>0.68242000000000003</v>
      </c>
      <c r="R35" s="227">
        <v>1E-4</v>
      </c>
      <c r="S35" s="227">
        <v>1.24E-3</v>
      </c>
      <c r="T35" s="227">
        <v>0.62263999999999997</v>
      </c>
      <c r="U35" s="227">
        <v>0.61856</v>
      </c>
      <c r="V35" s="227">
        <v>3.0000000000000001E-5</v>
      </c>
      <c r="W35" s="227">
        <v>4.0499999999999998E-3</v>
      </c>
      <c r="X35" s="227">
        <v>0.37952000000000002</v>
      </c>
      <c r="Y35" s="227">
        <v>0.37453999999999998</v>
      </c>
      <c r="Z35" s="227">
        <v>2.2000000000000001E-4</v>
      </c>
      <c r="AA35" s="227">
        <v>4.7600000000000003E-3</v>
      </c>
      <c r="AB35" s="227">
        <v>0.25438</v>
      </c>
      <c r="AC35" s="227">
        <v>0.25194</v>
      </c>
      <c r="AD35" s="227">
        <v>1.0300000000000001E-3</v>
      </c>
      <c r="AE35" s="227">
        <v>1.41E-3</v>
      </c>
      <c r="AF35" s="215"/>
    </row>
    <row r="36" spans="1:32" s="194" customFormat="1">
      <c r="A36" s="699"/>
      <c r="B36" s="683"/>
      <c r="C36" s="198" t="s">
        <v>1953</v>
      </c>
      <c r="D36" s="227">
        <v>0.25023000000000001</v>
      </c>
      <c r="E36" s="227">
        <v>0.24858</v>
      </c>
      <c r="F36" s="253">
        <v>4.8607767053859851E-6</v>
      </c>
      <c r="G36" s="227">
        <v>1.65E-3</v>
      </c>
      <c r="H36" s="227">
        <v>0.22095000000000001</v>
      </c>
      <c r="I36" s="227">
        <v>0.22023999999999999</v>
      </c>
      <c r="J36" s="227">
        <v>2.7E-4</v>
      </c>
      <c r="K36" s="227">
        <v>4.4000000000000002E-4</v>
      </c>
      <c r="L36" s="227">
        <v>0.25119999999999998</v>
      </c>
      <c r="M36" s="227">
        <v>0.24937999999999999</v>
      </c>
      <c r="N36" s="227">
        <v>1.32E-3</v>
      </c>
      <c r="O36" s="227">
        <v>5.0000000000000001E-4</v>
      </c>
      <c r="P36" s="227">
        <v>0.27617000000000003</v>
      </c>
      <c r="Q36" s="227">
        <v>0.27562999999999999</v>
      </c>
      <c r="R36" s="227">
        <v>4.0000000000000003E-5</v>
      </c>
      <c r="S36" s="227">
        <v>5.0000000000000001E-4</v>
      </c>
      <c r="T36" s="227">
        <v>0.24934000000000001</v>
      </c>
      <c r="U36" s="227">
        <v>0.24771000000000001</v>
      </c>
      <c r="V36" s="227">
        <v>1.0000000000000001E-5</v>
      </c>
      <c r="W36" s="227">
        <v>1.6199999999999999E-3</v>
      </c>
      <c r="X36" s="227">
        <v>0.15079000000000001</v>
      </c>
      <c r="Y36" s="227">
        <v>0.14881</v>
      </c>
      <c r="Z36" s="227">
        <v>9.0000000000000006E-5</v>
      </c>
      <c r="AA36" s="227">
        <v>1.89E-3</v>
      </c>
      <c r="AB36" s="227">
        <v>7.9219999999999999E-2</v>
      </c>
      <c r="AC36" s="227">
        <v>7.8689999999999996E-2</v>
      </c>
      <c r="AD36" s="227">
        <v>2.2000000000000001E-4</v>
      </c>
      <c r="AE36" s="227">
        <v>3.1E-4</v>
      </c>
      <c r="AF36" s="215"/>
    </row>
    <row r="37" spans="1:32" s="194" customFormat="1">
      <c r="A37" s="699"/>
      <c r="B37" s="683"/>
      <c r="C37" s="198" t="s">
        <v>1954</v>
      </c>
      <c r="D37" s="227">
        <v>0.40272999999999998</v>
      </c>
      <c r="E37" s="227">
        <v>0.40005000000000002</v>
      </c>
      <c r="F37" s="227">
        <v>1.0000000000000001E-5</v>
      </c>
      <c r="G37" s="227">
        <v>2.6700000000000001E-3</v>
      </c>
      <c r="H37" s="227">
        <v>0.35558000000000001</v>
      </c>
      <c r="I37" s="227">
        <v>0.35444999999999999</v>
      </c>
      <c r="J37" s="227">
        <v>4.2999999999999999E-4</v>
      </c>
      <c r="K37" s="227">
        <v>6.9999999999999999E-4</v>
      </c>
      <c r="L37" s="227">
        <v>0.40426000000000001</v>
      </c>
      <c r="M37" s="227">
        <v>0.40133999999999997</v>
      </c>
      <c r="N37" s="227">
        <v>2.1199999999999999E-3</v>
      </c>
      <c r="O37" s="227">
        <v>8.0000000000000004E-4</v>
      </c>
      <c r="P37" s="227">
        <v>0.44446000000000002</v>
      </c>
      <c r="Q37" s="227">
        <v>0.44358999999999998</v>
      </c>
      <c r="R37" s="227">
        <v>6.9999999999999994E-5</v>
      </c>
      <c r="S37" s="227">
        <v>8.0000000000000004E-4</v>
      </c>
      <c r="T37" s="227">
        <v>0.40127000000000002</v>
      </c>
      <c r="U37" s="227">
        <v>0.39865</v>
      </c>
      <c r="V37" s="227">
        <v>2.0000000000000002E-5</v>
      </c>
      <c r="W37" s="227">
        <v>2.5999999999999999E-3</v>
      </c>
      <c r="X37" s="227">
        <v>0.24267</v>
      </c>
      <c r="Y37" s="227">
        <v>0.23948</v>
      </c>
      <c r="Z37" s="227">
        <v>1.4999999999999999E-4</v>
      </c>
      <c r="AA37" s="227">
        <v>3.0400000000000002E-3</v>
      </c>
      <c r="AB37" s="227">
        <v>0.12751999999999999</v>
      </c>
      <c r="AC37" s="227">
        <v>0.12664</v>
      </c>
      <c r="AD37" s="227">
        <v>3.6999999999999999E-4</v>
      </c>
      <c r="AE37" s="227">
        <v>5.1000000000000004E-4</v>
      </c>
      <c r="AF37" s="215"/>
    </row>
    <row r="38" spans="1:32" s="194" customFormat="1">
      <c r="A38" s="235"/>
      <c r="B38" s="216"/>
      <c r="AF38" s="215"/>
    </row>
    <row r="39" spans="1:32" s="194" customFormat="1">
      <c r="A39" s="235"/>
      <c r="B39" s="216"/>
      <c r="D39" s="215"/>
      <c r="E39" s="215"/>
      <c r="F39" s="215"/>
      <c r="G39" s="215"/>
      <c r="H39" s="215"/>
      <c r="I39" s="215"/>
      <c r="J39" s="215"/>
      <c r="K39" s="215"/>
      <c r="L39" s="215"/>
      <c r="M39" s="215"/>
      <c r="N39" s="215"/>
      <c r="O39" s="215"/>
      <c r="P39" s="215"/>
      <c r="Q39" s="215"/>
      <c r="R39" s="215"/>
      <c r="S39" s="215"/>
      <c r="AF39" s="215"/>
    </row>
    <row r="40" spans="1:32" s="194" customFormat="1">
      <c r="A40" s="235"/>
      <c r="B40" s="216"/>
      <c r="D40" s="723" t="s">
        <v>2097</v>
      </c>
      <c r="E40" s="723"/>
      <c r="F40" s="723"/>
      <c r="G40" s="723"/>
      <c r="H40" s="723" t="s">
        <v>2098</v>
      </c>
      <c r="I40" s="723"/>
      <c r="J40" s="723"/>
      <c r="K40" s="723"/>
      <c r="L40" s="723" t="s">
        <v>2099</v>
      </c>
      <c r="M40" s="723"/>
      <c r="N40" s="723"/>
      <c r="O40" s="723"/>
      <c r="P40" s="723" t="s">
        <v>2100</v>
      </c>
      <c r="Q40" s="723"/>
      <c r="R40" s="723"/>
      <c r="S40" s="723"/>
      <c r="AF40" s="215"/>
    </row>
    <row r="41" spans="1:32" s="194" customFormat="1" ht="15.6">
      <c r="A41" s="232" t="s">
        <v>1629</v>
      </c>
      <c r="B41" s="212" t="s">
        <v>1771</v>
      </c>
      <c r="C41" s="196" t="s">
        <v>1631</v>
      </c>
      <c r="D41" s="198" t="s">
        <v>1632</v>
      </c>
      <c r="E41" s="198" t="s">
        <v>1903</v>
      </c>
      <c r="F41" s="198" t="s">
        <v>1904</v>
      </c>
      <c r="G41" s="198" t="s">
        <v>1905</v>
      </c>
      <c r="H41" s="198" t="s">
        <v>1632</v>
      </c>
      <c r="I41" s="198" t="s">
        <v>1903</v>
      </c>
      <c r="J41" s="198" t="s">
        <v>1904</v>
      </c>
      <c r="K41" s="198" t="s">
        <v>1905</v>
      </c>
      <c r="L41" s="198" t="s">
        <v>1632</v>
      </c>
      <c r="M41" s="198" t="s">
        <v>1903</v>
      </c>
      <c r="N41" s="198" t="s">
        <v>1904</v>
      </c>
      <c r="O41" s="198" t="s">
        <v>1905</v>
      </c>
      <c r="P41" s="198" t="s">
        <v>1632</v>
      </c>
      <c r="Q41" s="198" t="s">
        <v>1903</v>
      </c>
      <c r="R41" s="198" t="s">
        <v>1904</v>
      </c>
      <c r="S41" s="198" t="s">
        <v>1905</v>
      </c>
      <c r="AF41" s="215"/>
    </row>
    <row r="42" spans="1:32" s="194" customFormat="1">
      <c r="A42" s="699" t="s">
        <v>2101</v>
      </c>
      <c r="B42" s="683" t="s">
        <v>2102</v>
      </c>
      <c r="C42" s="198" t="s">
        <v>2093</v>
      </c>
      <c r="D42" s="200"/>
      <c r="E42" s="200"/>
      <c r="F42" s="200"/>
      <c r="G42" s="200"/>
      <c r="H42" s="227">
        <v>0.43990000000000001</v>
      </c>
      <c r="I42" s="199">
        <v>0.43485000000000001</v>
      </c>
      <c r="J42" s="307">
        <v>1E-4</v>
      </c>
      <c r="K42" s="307">
        <v>4.9500000000000004E-3</v>
      </c>
      <c r="L42" s="227">
        <v>0.23735999999999999</v>
      </c>
      <c r="M42" s="199">
        <v>0.23482</v>
      </c>
      <c r="N42" s="307">
        <v>6.0000000000000002E-5</v>
      </c>
      <c r="O42" s="307">
        <v>2.48E-3</v>
      </c>
      <c r="P42" s="227">
        <v>0.50546000000000002</v>
      </c>
      <c r="Q42" s="199">
        <v>0.49997000000000003</v>
      </c>
      <c r="R42" s="307">
        <v>1.1E-4</v>
      </c>
      <c r="S42" s="307">
        <v>5.3800000000000002E-3</v>
      </c>
      <c r="AF42" s="215"/>
    </row>
    <row r="43" spans="1:32" s="194" customFormat="1">
      <c r="A43" s="699"/>
      <c r="B43" s="683"/>
      <c r="C43" s="198" t="s">
        <v>1953</v>
      </c>
      <c r="D43" s="227">
        <v>0.45379999999999998</v>
      </c>
      <c r="E43" s="199">
        <v>0.44836999999999999</v>
      </c>
      <c r="F43" s="307">
        <v>1.1E-4</v>
      </c>
      <c r="G43" s="307">
        <v>5.3200000000000001E-3</v>
      </c>
      <c r="H43" s="227">
        <v>0.49279000000000001</v>
      </c>
      <c r="I43" s="199">
        <v>0.48736000000000002</v>
      </c>
      <c r="J43" s="307">
        <v>1.1E-4</v>
      </c>
      <c r="K43" s="307">
        <v>5.3200000000000001E-3</v>
      </c>
      <c r="L43" s="227">
        <v>0.53178000000000003</v>
      </c>
      <c r="M43" s="199">
        <v>0.52634999999999998</v>
      </c>
      <c r="N43" s="307">
        <v>1.1E-4</v>
      </c>
      <c r="O43" s="307">
        <v>5.3200000000000001E-3</v>
      </c>
      <c r="P43" s="227">
        <v>0.48732999999999999</v>
      </c>
      <c r="Q43" s="199">
        <v>0.4819</v>
      </c>
      <c r="R43" s="307">
        <v>1.1E-4</v>
      </c>
      <c r="S43" s="307">
        <v>5.3200000000000001E-3</v>
      </c>
      <c r="AF43" s="215"/>
    </row>
    <row r="44" spans="1:32" s="194" customFormat="1">
      <c r="A44" s="699"/>
      <c r="B44" s="683"/>
      <c r="C44" s="198" t="s">
        <v>1954</v>
      </c>
      <c r="D44" s="227">
        <v>0.73031000000000001</v>
      </c>
      <c r="E44" s="199">
        <v>0.72158</v>
      </c>
      <c r="F44" s="307">
        <v>1.8000000000000001E-4</v>
      </c>
      <c r="G44" s="307">
        <v>8.5500000000000003E-3</v>
      </c>
      <c r="H44" s="227">
        <v>0.79305999999999999</v>
      </c>
      <c r="I44" s="199">
        <v>0.78432999999999997</v>
      </c>
      <c r="J44" s="307">
        <v>1.8000000000000001E-4</v>
      </c>
      <c r="K44" s="307">
        <v>8.5500000000000003E-3</v>
      </c>
      <c r="L44" s="227">
        <v>0.85580000000000001</v>
      </c>
      <c r="M44" s="199">
        <v>0.84706999999999999</v>
      </c>
      <c r="N44" s="307">
        <v>1.8000000000000001E-4</v>
      </c>
      <c r="O44" s="307">
        <v>8.5500000000000003E-3</v>
      </c>
      <c r="P44" s="227">
        <v>0.78427000000000002</v>
      </c>
      <c r="Q44" s="199">
        <v>0.77554000000000001</v>
      </c>
      <c r="R44" s="307">
        <v>1.8000000000000001E-4</v>
      </c>
      <c r="S44" s="307">
        <v>8.5500000000000003E-3</v>
      </c>
      <c r="AF44" s="215"/>
    </row>
    <row r="45" spans="1:32" s="194" customFormat="1">
      <c r="A45" s="699"/>
      <c r="B45" s="683" t="s">
        <v>2103</v>
      </c>
      <c r="C45" s="198" t="s">
        <v>2093</v>
      </c>
      <c r="D45" s="200"/>
      <c r="E45" s="200"/>
      <c r="F45" s="200"/>
      <c r="G45" s="200"/>
      <c r="H45" s="227">
        <v>0.26206000000000002</v>
      </c>
      <c r="I45" s="199">
        <v>0.25945000000000001</v>
      </c>
      <c r="J45" s="307">
        <v>6.0000000000000002E-5</v>
      </c>
      <c r="K45" s="307">
        <v>2.5500000000000002E-3</v>
      </c>
      <c r="L45" s="227">
        <v>0.14724000000000001</v>
      </c>
      <c r="M45" s="199">
        <v>0.14593999999999999</v>
      </c>
      <c r="N45" s="307">
        <v>2.0000000000000002E-5</v>
      </c>
      <c r="O45" s="307">
        <v>1.2800000000000001E-3</v>
      </c>
      <c r="P45" s="227">
        <v>0.38023000000000001</v>
      </c>
      <c r="Q45" s="199">
        <v>0.37640000000000001</v>
      </c>
      <c r="R45" s="307">
        <v>8.0000000000000007E-5</v>
      </c>
      <c r="S45" s="307">
        <v>3.7499999999999999E-3</v>
      </c>
      <c r="AF45" s="215"/>
    </row>
    <row r="46" spans="1:32" s="194" customFormat="1">
      <c r="A46" s="699"/>
      <c r="B46" s="683"/>
      <c r="C46" s="198" t="s">
        <v>1953</v>
      </c>
      <c r="D46" s="227">
        <v>0.54425999999999997</v>
      </c>
      <c r="E46" s="199">
        <v>0.53764999999999996</v>
      </c>
      <c r="F46" s="307">
        <v>1.2999999999999999E-4</v>
      </c>
      <c r="G46" s="307">
        <v>6.4799999999999996E-3</v>
      </c>
      <c r="H46" s="227">
        <v>0.62105999999999995</v>
      </c>
      <c r="I46" s="199">
        <v>0.61445000000000005</v>
      </c>
      <c r="J46" s="307">
        <v>1.2999999999999999E-4</v>
      </c>
      <c r="K46" s="307">
        <v>6.4799999999999996E-3</v>
      </c>
      <c r="L46" s="227">
        <v>0.69786999999999999</v>
      </c>
      <c r="M46" s="199">
        <v>0.69125999999999999</v>
      </c>
      <c r="N46" s="307">
        <v>1.2999999999999999E-4</v>
      </c>
      <c r="O46" s="307">
        <v>6.4799999999999996E-3</v>
      </c>
      <c r="P46" s="227">
        <v>0.59494999999999998</v>
      </c>
      <c r="Q46" s="199">
        <v>0.58833999999999997</v>
      </c>
      <c r="R46" s="307">
        <v>1.2999999999999999E-4</v>
      </c>
      <c r="S46" s="307">
        <v>6.4799999999999996E-3</v>
      </c>
      <c r="AF46" s="215"/>
    </row>
    <row r="47" spans="1:32" s="194" customFormat="1">
      <c r="A47" s="699"/>
      <c r="B47" s="683"/>
      <c r="C47" s="198" t="s">
        <v>1954</v>
      </c>
      <c r="D47" s="227">
        <v>0.87590999999999997</v>
      </c>
      <c r="E47" s="199">
        <v>0.86526000000000003</v>
      </c>
      <c r="F47" s="307">
        <v>2.2000000000000001E-4</v>
      </c>
      <c r="G47" s="307">
        <v>1.043E-2</v>
      </c>
      <c r="H47" s="227">
        <v>0.99951999999999996</v>
      </c>
      <c r="I47" s="199">
        <v>0.98887000000000003</v>
      </c>
      <c r="J47" s="307">
        <v>2.2000000000000001E-4</v>
      </c>
      <c r="K47" s="307">
        <v>1.043E-2</v>
      </c>
      <c r="L47" s="227">
        <v>1.12313</v>
      </c>
      <c r="M47" s="199">
        <v>1.1124799999999999</v>
      </c>
      <c r="N47" s="307">
        <v>2.2000000000000001E-4</v>
      </c>
      <c r="O47" s="307">
        <v>1.043E-2</v>
      </c>
      <c r="P47" s="227">
        <v>0.95748999999999995</v>
      </c>
      <c r="Q47" s="199">
        <v>0.94684000000000001</v>
      </c>
      <c r="R47" s="307">
        <v>2.2000000000000001E-4</v>
      </c>
      <c r="S47" s="307">
        <v>1.043E-2</v>
      </c>
      <c r="AF47" s="215"/>
    </row>
    <row r="48" spans="1:32" s="194" customFormat="1">
      <c r="A48" s="699"/>
      <c r="B48" s="683" t="s">
        <v>2104</v>
      </c>
      <c r="C48" s="198" t="s">
        <v>2093</v>
      </c>
      <c r="D48" s="200"/>
      <c r="E48" s="200"/>
      <c r="F48" s="200"/>
      <c r="G48" s="200"/>
      <c r="H48" s="227">
        <v>0.20077</v>
      </c>
      <c r="I48" s="199">
        <v>0.19841</v>
      </c>
      <c r="J48" s="307">
        <v>4.0000000000000003E-5</v>
      </c>
      <c r="K48" s="307">
        <v>2.32E-3</v>
      </c>
      <c r="L48" s="227">
        <v>0.11824</v>
      </c>
      <c r="M48" s="199">
        <v>0.11706</v>
      </c>
      <c r="N48" s="307">
        <v>2.0000000000000002E-5</v>
      </c>
      <c r="O48" s="307">
        <v>1.16E-3</v>
      </c>
      <c r="P48" s="227">
        <v>0.15398000000000001</v>
      </c>
      <c r="Q48" s="199">
        <v>0.15193000000000001</v>
      </c>
      <c r="R48" s="307">
        <v>4.0000000000000003E-5</v>
      </c>
      <c r="S48" s="307">
        <v>2.0100000000000001E-3</v>
      </c>
      <c r="AF48" s="215"/>
    </row>
    <row r="49" spans="1:32" s="194" customFormat="1">
      <c r="A49" s="699"/>
      <c r="B49" s="683"/>
      <c r="C49" s="198" t="s">
        <v>1953</v>
      </c>
      <c r="D49" s="227">
        <v>0.74987000000000004</v>
      </c>
      <c r="E49" s="199">
        <v>0.73906000000000005</v>
      </c>
      <c r="F49" s="307">
        <v>2.2000000000000001E-4</v>
      </c>
      <c r="G49" s="307">
        <v>1.059E-2</v>
      </c>
      <c r="H49" s="227">
        <v>0.91210000000000002</v>
      </c>
      <c r="I49" s="199">
        <v>0.90129000000000004</v>
      </c>
      <c r="J49" s="307">
        <v>2.2000000000000001E-4</v>
      </c>
      <c r="K49" s="307">
        <v>1.059E-2</v>
      </c>
      <c r="L49" s="227">
        <v>1.07433</v>
      </c>
      <c r="M49" s="199">
        <v>1.06352</v>
      </c>
      <c r="N49" s="307">
        <v>2.2000000000000001E-4</v>
      </c>
      <c r="O49" s="307">
        <v>1.059E-2</v>
      </c>
      <c r="P49" s="227">
        <v>0.97697999999999996</v>
      </c>
      <c r="Q49" s="199">
        <v>0.96616999999999997</v>
      </c>
      <c r="R49" s="307">
        <v>2.2000000000000001E-4</v>
      </c>
      <c r="S49" s="307">
        <v>1.059E-2</v>
      </c>
      <c r="AF49" s="215"/>
    </row>
    <row r="50" spans="1:32" s="194" customFormat="1">
      <c r="A50" s="699"/>
      <c r="B50" s="683"/>
      <c r="C50" s="198" t="s">
        <v>1954</v>
      </c>
      <c r="D50" s="227">
        <v>1.2068099999999999</v>
      </c>
      <c r="E50" s="199">
        <v>1.1894</v>
      </c>
      <c r="F50" s="307">
        <v>3.6999999999999999E-4</v>
      </c>
      <c r="G50" s="307">
        <v>1.704E-2</v>
      </c>
      <c r="H50" s="227">
        <v>1.4679</v>
      </c>
      <c r="I50" s="199">
        <v>1.4504900000000001</v>
      </c>
      <c r="J50" s="307">
        <v>3.6999999999999999E-4</v>
      </c>
      <c r="K50" s="307">
        <v>1.704E-2</v>
      </c>
      <c r="L50" s="227">
        <v>1.72898</v>
      </c>
      <c r="M50" s="199">
        <v>1.71157</v>
      </c>
      <c r="N50" s="307">
        <v>3.6999999999999999E-4</v>
      </c>
      <c r="O50" s="307">
        <v>1.704E-2</v>
      </c>
      <c r="P50" s="227">
        <v>1.5723100000000001</v>
      </c>
      <c r="Q50" s="199">
        <v>1.5548999999999999</v>
      </c>
      <c r="R50" s="307">
        <v>3.6999999999999999E-4</v>
      </c>
      <c r="S50" s="307">
        <v>1.704E-2</v>
      </c>
      <c r="AF50" s="215"/>
    </row>
    <row r="51" spans="1:32" s="194" customFormat="1">
      <c r="A51" s="699"/>
      <c r="B51" s="683" t="s">
        <v>2105</v>
      </c>
      <c r="C51" s="198" t="s">
        <v>2093</v>
      </c>
      <c r="D51" s="200"/>
      <c r="E51" s="200"/>
      <c r="F51" s="200"/>
      <c r="G51" s="200"/>
      <c r="H51" s="227">
        <v>0.21412</v>
      </c>
      <c r="I51" s="199">
        <v>0.21157000000000001</v>
      </c>
      <c r="J51" s="307">
        <v>6.0000000000000002E-5</v>
      </c>
      <c r="K51" s="307">
        <v>2.49E-3</v>
      </c>
      <c r="L51" s="227">
        <v>0.12482</v>
      </c>
      <c r="M51" s="199">
        <v>0.12356</v>
      </c>
      <c r="N51" s="307">
        <v>2.0000000000000002E-5</v>
      </c>
      <c r="O51" s="307">
        <v>1.24E-3</v>
      </c>
      <c r="P51" s="227">
        <v>0.17852999999999999</v>
      </c>
      <c r="Q51" s="199">
        <v>0.1762</v>
      </c>
      <c r="R51" s="307">
        <v>4.0000000000000003E-5</v>
      </c>
      <c r="S51" s="307">
        <v>2.2899999999999999E-3</v>
      </c>
      <c r="AF51" s="215"/>
    </row>
    <row r="52" spans="1:32" s="194" customFormat="1">
      <c r="A52" s="699"/>
      <c r="B52" s="683"/>
      <c r="C52" s="198" t="s">
        <v>1953</v>
      </c>
      <c r="D52" s="227">
        <v>0.66163000000000005</v>
      </c>
      <c r="E52" s="199">
        <v>0.65256000000000003</v>
      </c>
      <c r="F52" s="307">
        <v>1.9000000000000001E-4</v>
      </c>
      <c r="G52" s="307">
        <v>8.8800000000000007E-3</v>
      </c>
      <c r="H52" s="227">
        <v>0.78718999999999995</v>
      </c>
      <c r="I52" s="199">
        <v>0.77812000000000003</v>
      </c>
      <c r="J52" s="307">
        <v>1.9000000000000001E-4</v>
      </c>
      <c r="K52" s="307">
        <v>8.8800000000000007E-3</v>
      </c>
      <c r="L52" s="227">
        <v>0.91274</v>
      </c>
      <c r="M52" s="199">
        <v>0.90366999999999997</v>
      </c>
      <c r="N52" s="307">
        <v>1.9000000000000001E-4</v>
      </c>
      <c r="O52" s="307">
        <v>8.8800000000000007E-3</v>
      </c>
      <c r="P52" s="227">
        <v>0.82657000000000003</v>
      </c>
      <c r="Q52" s="199">
        <v>0.8175</v>
      </c>
      <c r="R52" s="307">
        <v>1.9000000000000001E-4</v>
      </c>
      <c r="S52" s="307">
        <v>8.8800000000000007E-3</v>
      </c>
      <c r="AF52" s="215"/>
    </row>
    <row r="53" spans="1:32" s="194" customFormat="1">
      <c r="A53" s="699"/>
      <c r="B53" s="683"/>
      <c r="C53" s="198" t="s">
        <v>1954</v>
      </c>
      <c r="D53" s="227">
        <v>1.0647899999999999</v>
      </c>
      <c r="E53" s="199">
        <v>1.0502</v>
      </c>
      <c r="F53" s="307">
        <v>2.9999999999999997E-4</v>
      </c>
      <c r="G53" s="307">
        <v>1.4290000000000001E-2</v>
      </c>
      <c r="H53" s="227">
        <v>1.26685</v>
      </c>
      <c r="I53" s="199">
        <v>1.2522599999999999</v>
      </c>
      <c r="J53" s="307">
        <v>2.9999999999999997E-4</v>
      </c>
      <c r="K53" s="307">
        <v>1.4290000000000001E-2</v>
      </c>
      <c r="L53" s="227">
        <v>1.4689099999999999</v>
      </c>
      <c r="M53" s="199">
        <v>1.4543200000000001</v>
      </c>
      <c r="N53" s="307">
        <v>2.9999999999999997E-4</v>
      </c>
      <c r="O53" s="307">
        <v>1.4290000000000001E-2</v>
      </c>
      <c r="P53" s="227">
        <v>1.33023</v>
      </c>
      <c r="Q53" s="199">
        <v>1.3156399999999999</v>
      </c>
      <c r="R53" s="307">
        <v>2.9999999999999997E-4</v>
      </c>
      <c r="S53" s="307">
        <v>1.4290000000000001E-2</v>
      </c>
      <c r="AF53" s="215"/>
    </row>
    <row r="54" spans="1:32" s="194" customFormat="1">
      <c r="A54" s="699"/>
      <c r="B54" s="683" t="s">
        <v>2106</v>
      </c>
      <c r="C54" s="198" t="s">
        <v>2093</v>
      </c>
      <c r="D54" s="200"/>
      <c r="E54" s="200"/>
      <c r="F54" s="200"/>
      <c r="G54" s="200"/>
      <c r="H54" s="227">
        <v>0.11303000000000001</v>
      </c>
      <c r="I54" s="199">
        <v>0.11111</v>
      </c>
      <c r="J54" s="307">
        <v>2.0000000000000002E-5</v>
      </c>
      <c r="K54" s="307">
        <v>1.9E-3</v>
      </c>
      <c r="L54" s="227">
        <v>6.7629999999999996E-2</v>
      </c>
      <c r="M54" s="199">
        <v>6.6669999999999993E-2</v>
      </c>
      <c r="N54" s="307">
        <v>1.0000000000000001E-5</v>
      </c>
      <c r="O54" s="307">
        <v>9.5E-4</v>
      </c>
      <c r="P54" s="227">
        <v>0.11311</v>
      </c>
      <c r="Q54" s="199">
        <v>0.11111</v>
      </c>
      <c r="R54" s="307">
        <v>2.0000000000000002E-5</v>
      </c>
      <c r="S54" s="307">
        <v>1.98E-3</v>
      </c>
      <c r="AF54" s="215"/>
    </row>
    <row r="55" spans="1:32" s="194" customFormat="1">
      <c r="A55" s="699"/>
      <c r="B55" s="683"/>
      <c r="C55" s="198" t="s">
        <v>1953</v>
      </c>
      <c r="D55" s="227">
        <v>0.61558000000000002</v>
      </c>
      <c r="E55" s="199">
        <v>0.60336999999999996</v>
      </c>
      <c r="F55" s="307">
        <v>1.2E-4</v>
      </c>
      <c r="G55" s="307">
        <v>1.209E-2</v>
      </c>
      <c r="H55" s="227">
        <v>0.76641999999999999</v>
      </c>
      <c r="I55" s="199">
        <v>0.75421000000000005</v>
      </c>
      <c r="J55" s="307">
        <v>1.2E-4</v>
      </c>
      <c r="K55" s="307">
        <v>1.209E-2</v>
      </c>
      <c r="L55" s="227">
        <v>0.91725999999999996</v>
      </c>
      <c r="M55" s="199">
        <v>0.90505000000000002</v>
      </c>
      <c r="N55" s="307">
        <v>1.2E-4</v>
      </c>
      <c r="O55" s="307">
        <v>1.209E-2</v>
      </c>
      <c r="P55" s="227">
        <v>0.76641999999999999</v>
      </c>
      <c r="Q55" s="199">
        <v>0.75421000000000005</v>
      </c>
      <c r="R55" s="307">
        <v>1.2E-4</v>
      </c>
      <c r="S55" s="307">
        <v>1.209E-2</v>
      </c>
      <c r="AF55" s="215"/>
    </row>
    <row r="56" spans="1:32" s="194" customFormat="1">
      <c r="A56" s="699"/>
      <c r="B56" s="683"/>
      <c r="C56" s="198" t="s">
        <v>1954</v>
      </c>
      <c r="D56" s="227">
        <v>0.99065000000000003</v>
      </c>
      <c r="E56" s="199">
        <v>0.97101999999999999</v>
      </c>
      <c r="F56" s="307">
        <v>1.9000000000000001E-4</v>
      </c>
      <c r="G56" s="307">
        <v>1.9439999999999999E-2</v>
      </c>
      <c r="H56" s="227">
        <v>1.2334099999999999</v>
      </c>
      <c r="I56" s="199">
        <v>1.2137800000000001</v>
      </c>
      <c r="J56" s="307">
        <v>1.9000000000000001E-4</v>
      </c>
      <c r="K56" s="307">
        <v>1.9439999999999999E-2</v>
      </c>
      <c r="L56" s="227">
        <v>1.4761599999999999</v>
      </c>
      <c r="M56" s="199">
        <v>1.4565300000000001</v>
      </c>
      <c r="N56" s="307">
        <v>1.9000000000000001E-4</v>
      </c>
      <c r="O56" s="307">
        <v>1.9439999999999999E-2</v>
      </c>
      <c r="P56" s="227">
        <v>1.2334099999999999</v>
      </c>
      <c r="Q56" s="199">
        <v>1.2137800000000001</v>
      </c>
      <c r="R56" s="307">
        <v>1.9000000000000001E-4</v>
      </c>
      <c r="S56" s="307">
        <v>1.9439999999999999E-2</v>
      </c>
      <c r="AF56" s="215"/>
    </row>
    <row r="57" spans="1:32" s="194" customFormat="1">
      <c r="A57" s="699"/>
      <c r="B57" s="683" t="s">
        <v>2107</v>
      </c>
      <c r="C57" s="198" t="s">
        <v>2093</v>
      </c>
      <c r="D57" s="200"/>
      <c r="E57" s="200"/>
      <c r="F57" s="200"/>
      <c r="G57" s="200"/>
      <c r="H57" s="227">
        <v>9.2939999999999995E-2</v>
      </c>
      <c r="I57" s="199">
        <v>9.1350000000000001E-2</v>
      </c>
      <c r="J57" s="307">
        <v>1.0000000000000001E-5</v>
      </c>
      <c r="K57" s="307">
        <v>1.58E-3</v>
      </c>
      <c r="L57" s="227">
        <v>5.7889999999999997E-2</v>
      </c>
      <c r="M57" s="199">
        <v>5.7090000000000002E-2</v>
      </c>
      <c r="N57" s="307">
        <v>1.0000000000000001E-5</v>
      </c>
      <c r="O57" s="307">
        <v>7.9000000000000001E-4</v>
      </c>
      <c r="P57" s="227">
        <v>7.4469999999999995E-2</v>
      </c>
      <c r="Q57" s="199">
        <v>7.3209999999999997E-2</v>
      </c>
      <c r="R57" s="307">
        <v>1.0000000000000001E-5</v>
      </c>
      <c r="S57" s="307">
        <v>1.25E-3</v>
      </c>
      <c r="AF57" s="215"/>
    </row>
    <row r="58" spans="1:32" s="194" customFormat="1">
      <c r="A58" s="699"/>
      <c r="B58" s="683"/>
      <c r="C58" s="198" t="s">
        <v>1953</v>
      </c>
      <c r="D58" s="227">
        <v>0.63238000000000005</v>
      </c>
      <c r="E58" s="199">
        <v>0.61785000000000001</v>
      </c>
      <c r="F58" s="307">
        <v>1.4999999999999999E-4</v>
      </c>
      <c r="G58" s="307">
        <v>1.438E-2</v>
      </c>
      <c r="H58" s="227">
        <v>0.83833000000000002</v>
      </c>
      <c r="I58" s="199">
        <v>0.82379999999999998</v>
      </c>
      <c r="J58" s="307">
        <v>1.4999999999999999E-4</v>
      </c>
      <c r="K58" s="307">
        <v>1.438E-2</v>
      </c>
      <c r="L58" s="227">
        <v>1.0442800000000001</v>
      </c>
      <c r="M58" s="199">
        <v>1.0297499999999999</v>
      </c>
      <c r="N58" s="307">
        <v>1.4999999999999999E-4</v>
      </c>
      <c r="O58" s="307">
        <v>1.438E-2</v>
      </c>
      <c r="P58" s="227">
        <v>0.91247</v>
      </c>
      <c r="Q58" s="199">
        <v>0.89793999999999996</v>
      </c>
      <c r="R58" s="307">
        <v>1.4999999999999999E-4</v>
      </c>
      <c r="S58" s="307">
        <v>1.438E-2</v>
      </c>
      <c r="AF58" s="215"/>
    </row>
    <row r="59" spans="1:32" s="194" customFormat="1">
      <c r="A59" s="699"/>
      <c r="B59" s="683"/>
      <c r="C59" s="198" t="s">
        <v>1954</v>
      </c>
      <c r="D59" s="227">
        <v>1.0177</v>
      </c>
      <c r="E59" s="199">
        <v>0.99434</v>
      </c>
      <c r="F59" s="307">
        <v>2.2000000000000001E-4</v>
      </c>
      <c r="G59" s="307">
        <v>2.3140000000000001E-2</v>
      </c>
      <c r="H59" s="227">
        <v>1.34914</v>
      </c>
      <c r="I59" s="199">
        <v>1.32578</v>
      </c>
      <c r="J59" s="307">
        <v>2.2000000000000001E-4</v>
      </c>
      <c r="K59" s="307">
        <v>2.3140000000000001E-2</v>
      </c>
      <c r="L59" s="227">
        <v>1.68059</v>
      </c>
      <c r="M59" s="199">
        <v>1.65723</v>
      </c>
      <c r="N59" s="307">
        <v>2.2000000000000001E-4</v>
      </c>
      <c r="O59" s="307">
        <v>2.3140000000000001E-2</v>
      </c>
      <c r="P59" s="227">
        <v>1.4684600000000001</v>
      </c>
      <c r="Q59" s="199">
        <v>1.4451000000000001</v>
      </c>
      <c r="R59" s="307">
        <v>2.2000000000000001E-4</v>
      </c>
      <c r="S59" s="307">
        <v>2.3140000000000001E-2</v>
      </c>
      <c r="AF59" s="215"/>
    </row>
    <row r="60" spans="1:32" s="194" customFormat="1">
      <c r="A60" s="699"/>
      <c r="B60" s="683" t="s">
        <v>2108</v>
      </c>
      <c r="C60" s="198" t="s">
        <v>2093</v>
      </c>
      <c r="D60" s="200"/>
      <c r="E60" s="200"/>
      <c r="F60" s="200"/>
      <c r="G60" s="200"/>
      <c r="H60" s="227">
        <v>9.3460000000000001E-2</v>
      </c>
      <c r="I60" s="199">
        <v>9.1859999999999997E-2</v>
      </c>
      <c r="J60" s="307">
        <v>1.0000000000000001E-5</v>
      </c>
      <c r="K60" s="307">
        <v>1.5900000000000001E-3</v>
      </c>
      <c r="L60" s="227">
        <v>5.8139999999999997E-2</v>
      </c>
      <c r="M60" s="199">
        <v>5.7340000000000002E-2</v>
      </c>
      <c r="N60" s="307">
        <v>1.0000000000000001E-5</v>
      </c>
      <c r="O60" s="307">
        <v>7.9000000000000001E-4</v>
      </c>
      <c r="P60" s="227">
        <v>7.5469999999999995E-2</v>
      </c>
      <c r="Q60" s="199">
        <v>7.4190000000000006E-2</v>
      </c>
      <c r="R60" s="307">
        <v>1.0000000000000001E-5</v>
      </c>
      <c r="S60" s="307">
        <v>1.2700000000000001E-3</v>
      </c>
      <c r="AF60" s="215"/>
    </row>
    <row r="61" spans="1:32" s="194" customFormat="1">
      <c r="A61" s="699"/>
      <c r="B61" s="683"/>
      <c r="C61" s="198" t="s">
        <v>1953</v>
      </c>
      <c r="D61" s="227">
        <v>0.63161999999999996</v>
      </c>
      <c r="E61" s="199">
        <v>0.61719000000000002</v>
      </c>
      <c r="F61" s="307">
        <v>1.4999999999999999E-4</v>
      </c>
      <c r="G61" s="307">
        <v>1.4279999999999999E-2</v>
      </c>
      <c r="H61" s="227">
        <v>0.83506000000000002</v>
      </c>
      <c r="I61" s="199">
        <v>0.82062999999999997</v>
      </c>
      <c r="J61" s="307">
        <v>1.4999999999999999E-4</v>
      </c>
      <c r="K61" s="307">
        <v>1.4279999999999999E-2</v>
      </c>
      <c r="L61" s="227">
        <v>1.0384899999999999</v>
      </c>
      <c r="M61" s="199">
        <v>1.02406</v>
      </c>
      <c r="N61" s="307">
        <v>1.4999999999999999E-4</v>
      </c>
      <c r="O61" s="307">
        <v>1.4279999999999999E-2</v>
      </c>
      <c r="P61" s="227">
        <v>0.90581</v>
      </c>
      <c r="Q61" s="199">
        <v>0.89137999999999995</v>
      </c>
      <c r="R61" s="307">
        <v>1.4999999999999999E-4</v>
      </c>
      <c r="S61" s="307">
        <v>1.4279999999999999E-2</v>
      </c>
      <c r="AF61" s="215"/>
    </row>
    <row r="62" spans="1:32" s="194" customFormat="1">
      <c r="A62" s="699"/>
      <c r="B62" s="683"/>
      <c r="C62" s="198" t="s">
        <v>1954</v>
      </c>
      <c r="D62" s="227">
        <v>1.0164800000000001</v>
      </c>
      <c r="E62" s="199">
        <v>0.99326999999999999</v>
      </c>
      <c r="F62" s="307">
        <v>2.2000000000000001E-4</v>
      </c>
      <c r="G62" s="307">
        <v>2.299E-2</v>
      </c>
      <c r="H62" s="227">
        <v>1.34388</v>
      </c>
      <c r="I62" s="199">
        <v>1.32067</v>
      </c>
      <c r="J62" s="307">
        <v>2.2000000000000001E-4</v>
      </c>
      <c r="K62" s="307">
        <v>2.299E-2</v>
      </c>
      <c r="L62" s="227">
        <v>1.6712800000000001</v>
      </c>
      <c r="M62" s="199">
        <v>1.6480699999999999</v>
      </c>
      <c r="N62" s="307">
        <v>2.2000000000000001E-4</v>
      </c>
      <c r="O62" s="307">
        <v>2.299E-2</v>
      </c>
      <c r="P62" s="227">
        <v>1.4577500000000001</v>
      </c>
      <c r="Q62" s="199">
        <v>1.4345399999999999</v>
      </c>
      <c r="R62" s="307">
        <v>2.2000000000000001E-4</v>
      </c>
      <c r="S62" s="307">
        <v>2.299E-2</v>
      </c>
      <c r="AF62" s="215"/>
    </row>
    <row r="63" spans="1:32" s="194" customFormat="1">
      <c r="A63" s="699"/>
      <c r="B63" s="683" t="s">
        <v>2109</v>
      </c>
      <c r="C63" s="198" t="s">
        <v>2093</v>
      </c>
      <c r="D63" s="200"/>
      <c r="E63" s="200"/>
      <c r="F63" s="200"/>
      <c r="G63" s="200"/>
      <c r="H63" s="227">
        <v>0.11926</v>
      </c>
      <c r="I63" s="199">
        <v>0.11745999999999999</v>
      </c>
      <c r="J63" s="307">
        <v>2.0000000000000002E-5</v>
      </c>
      <c r="K63" s="307">
        <v>1.7799999999999999E-3</v>
      </c>
      <c r="L63" s="227">
        <v>7.2400000000000006E-2</v>
      </c>
      <c r="M63" s="199">
        <v>7.1499999999999994E-2</v>
      </c>
      <c r="N63" s="307">
        <v>1.0000000000000001E-5</v>
      </c>
      <c r="O63" s="307">
        <v>8.8999999999999995E-4</v>
      </c>
      <c r="P63" s="227">
        <v>9.7519999999999996E-2</v>
      </c>
      <c r="Q63" s="199">
        <v>9.6009999999999998E-2</v>
      </c>
      <c r="R63" s="307">
        <v>2.0000000000000002E-5</v>
      </c>
      <c r="S63" s="307">
        <v>1.49E-3</v>
      </c>
      <c r="AF63" s="215"/>
    </row>
    <row r="64" spans="1:32" s="194" customFormat="1">
      <c r="A64" s="699"/>
      <c r="B64" s="683"/>
      <c r="C64" s="198" t="s">
        <v>1953</v>
      </c>
      <c r="D64" s="227">
        <v>0.64392000000000005</v>
      </c>
      <c r="E64" s="199">
        <v>0.63180999999999998</v>
      </c>
      <c r="F64" s="307">
        <v>1.6000000000000001E-4</v>
      </c>
      <c r="G64" s="307">
        <v>1.1950000000000001E-2</v>
      </c>
      <c r="H64" s="227">
        <v>0.81516999999999995</v>
      </c>
      <c r="I64" s="199">
        <v>0.80306</v>
      </c>
      <c r="J64" s="307">
        <v>1.6000000000000001E-4</v>
      </c>
      <c r="K64" s="307">
        <v>1.1950000000000001E-2</v>
      </c>
      <c r="L64" s="227">
        <v>0.98641000000000001</v>
      </c>
      <c r="M64" s="199">
        <v>0.97430000000000005</v>
      </c>
      <c r="N64" s="307">
        <v>1.6000000000000001E-4</v>
      </c>
      <c r="O64" s="307">
        <v>1.1950000000000001E-2</v>
      </c>
      <c r="P64" s="227">
        <v>0.87295999999999996</v>
      </c>
      <c r="Q64" s="199">
        <v>0.86085</v>
      </c>
      <c r="R64" s="307">
        <v>1.6000000000000001E-4</v>
      </c>
      <c r="S64" s="307">
        <v>1.1950000000000001E-2</v>
      </c>
      <c r="AF64" s="215"/>
    </row>
    <row r="65" spans="1:32" s="194" customFormat="1">
      <c r="A65" s="699"/>
      <c r="B65" s="683"/>
      <c r="C65" s="198" t="s">
        <v>1954</v>
      </c>
      <c r="D65" s="227">
        <v>1.0362899999999999</v>
      </c>
      <c r="E65" s="199">
        <v>1.0167999999999999</v>
      </c>
      <c r="F65" s="307">
        <v>2.5999999999999998E-4</v>
      </c>
      <c r="G65" s="307">
        <v>1.9230000000000001E-2</v>
      </c>
      <c r="H65" s="227">
        <v>1.3118799999999999</v>
      </c>
      <c r="I65" s="199">
        <v>1.2923899999999999</v>
      </c>
      <c r="J65" s="307">
        <v>2.5999999999999998E-4</v>
      </c>
      <c r="K65" s="307">
        <v>1.9230000000000001E-2</v>
      </c>
      <c r="L65" s="227">
        <v>1.58748</v>
      </c>
      <c r="M65" s="199">
        <v>1.56799</v>
      </c>
      <c r="N65" s="307">
        <v>2.5999999999999998E-4</v>
      </c>
      <c r="O65" s="307">
        <v>1.9230000000000001E-2</v>
      </c>
      <c r="P65" s="227">
        <v>1.40489</v>
      </c>
      <c r="Q65" s="199">
        <v>1.3854</v>
      </c>
      <c r="R65" s="307">
        <v>2.5999999999999998E-4</v>
      </c>
      <c r="S65" s="307">
        <v>1.9230000000000001E-2</v>
      </c>
      <c r="AF65" s="215"/>
    </row>
    <row r="66" spans="1:32" s="194" customFormat="1">
      <c r="A66" s="235"/>
      <c r="B66" s="216"/>
      <c r="AF66" s="215"/>
    </row>
    <row r="67" spans="1:32" s="194" customFormat="1">
      <c r="A67" s="235"/>
      <c r="B67" s="216"/>
      <c r="D67" s="215"/>
      <c r="E67" s="215"/>
      <c r="F67" s="215"/>
      <c r="G67" s="215"/>
      <c r="H67" s="215"/>
      <c r="I67" s="215"/>
      <c r="J67" s="215"/>
      <c r="K67" s="215"/>
      <c r="L67" s="215"/>
      <c r="M67" s="215"/>
      <c r="N67" s="215"/>
      <c r="O67" s="215"/>
      <c r="P67" s="215"/>
      <c r="Q67" s="215"/>
      <c r="R67" s="215"/>
      <c r="S67" s="215"/>
      <c r="AF67" s="215"/>
    </row>
    <row r="68" spans="1:32" s="194" customFormat="1">
      <c r="A68" s="235"/>
      <c r="B68" s="216"/>
      <c r="D68" s="723" t="s">
        <v>2097</v>
      </c>
      <c r="E68" s="723"/>
      <c r="F68" s="723"/>
      <c r="G68" s="723"/>
      <c r="H68" s="723" t="s">
        <v>2098</v>
      </c>
      <c r="I68" s="723"/>
      <c r="J68" s="723"/>
      <c r="K68" s="723"/>
      <c r="L68" s="723" t="s">
        <v>2099</v>
      </c>
      <c r="M68" s="723"/>
      <c r="N68" s="723"/>
      <c r="O68" s="723"/>
      <c r="P68" s="723" t="s">
        <v>2100</v>
      </c>
      <c r="Q68" s="723"/>
      <c r="R68" s="723"/>
      <c r="S68" s="723"/>
      <c r="AF68" s="215"/>
    </row>
    <row r="69" spans="1:32" s="194" customFormat="1" ht="15.6">
      <c r="A69" s="232" t="s">
        <v>1629</v>
      </c>
      <c r="B69" s="212" t="s">
        <v>1771</v>
      </c>
      <c r="C69" s="196" t="s">
        <v>1631</v>
      </c>
      <c r="D69" s="198" t="s">
        <v>1632</v>
      </c>
      <c r="E69" s="198" t="s">
        <v>1903</v>
      </c>
      <c r="F69" s="198" t="s">
        <v>1904</v>
      </c>
      <c r="G69" s="198" t="s">
        <v>1905</v>
      </c>
      <c r="H69" s="198" t="s">
        <v>1632</v>
      </c>
      <c r="I69" s="198" t="s">
        <v>1903</v>
      </c>
      <c r="J69" s="198" t="s">
        <v>1904</v>
      </c>
      <c r="K69" s="198" t="s">
        <v>1905</v>
      </c>
      <c r="L69" s="198" t="s">
        <v>1632</v>
      </c>
      <c r="M69" s="198" t="s">
        <v>1903</v>
      </c>
      <c r="N69" s="198" t="s">
        <v>1904</v>
      </c>
      <c r="O69" s="198" t="s">
        <v>1905</v>
      </c>
      <c r="P69" s="198" t="s">
        <v>1632</v>
      </c>
      <c r="Q69" s="198" t="s">
        <v>1903</v>
      </c>
      <c r="R69" s="198" t="s">
        <v>1904</v>
      </c>
      <c r="S69" s="198" t="s">
        <v>1905</v>
      </c>
      <c r="AF69" s="215"/>
    </row>
    <row r="70" spans="1:32" s="194" customFormat="1">
      <c r="A70" s="699" t="s">
        <v>2110</v>
      </c>
      <c r="B70" s="683" t="s">
        <v>2102</v>
      </c>
      <c r="C70" s="198" t="s">
        <v>2093</v>
      </c>
      <c r="D70" s="200"/>
      <c r="E70" s="200"/>
      <c r="F70" s="200"/>
      <c r="G70" s="200"/>
      <c r="H70" s="227">
        <v>0.52381999999999995</v>
      </c>
      <c r="I70" s="199">
        <v>0.51876999999999995</v>
      </c>
      <c r="J70" s="307">
        <v>1E-4</v>
      </c>
      <c r="K70" s="307">
        <v>4.9500000000000004E-3</v>
      </c>
      <c r="L70" s="227">
        <v>0.28267999999999999</v>
      </c>
      <c r="M70" s="199">
        <v>0.28014</v>
      </c>
      <c r="N70" s="307">
        <v>6.0000000000000002E-5</v>
      </c>
      <c r="O70" s="307">
        <v>2.48E-3</v>
      </c>
      <c r="P70" s="227">
        <v>0.60194999999999999</v>
      </c>
      <c r="Q70" s="199">
        <v>0.59645999999999999</v>
      </c>
      <c r="R70" s="307">
        <v>1.1E-4</v>
      </c>
      <c r="S70" s="307">
        <v>5.3800000000000002E-3</v>
      </c>
      <c r="AF70" s="215"/>
    </row>
    <row r="71" spans="1:32" s="194" customFormat="1">
      <c r="A71" s="699"/>
      <c r="B71" s="683"/>
      <c r="C71" s="198" t="s">
        <v>1953</v>
      </c>
      <c r="D71" s="227">
        <v>0.54032999999999998</v>
      </c>
      <c r="E71" s="199">
        <v>0.53490000000000004</v>
      </c>
      <c r="F71" s="307">
        <v>1.1E-4</v>
      </c>
      <c r="G71" s="307">
        <v>5.3200000000000001E-3</v>
      </c>
      <c r="H71" s="227">
        <v>0.58684000000000003</v>
      </c>
      <c r="I71" s="199">
        <v>0.58140999999999998</v>
      </c>
      <c r="J71" s="307">
        <v>1.1E-4</v>
      </c>
      <c r="K71" s="307">
        <v>5.3200000000000001E-3</v>
      </c>
      <c r="L71" s="227">
        <v>0.63336000000000003</v>
      </c>
      <c r="M71" s="199">
        <v>0.62792999999999999</v>
      </c>
      <c r="N71" s="307">
        <v>1.1E-4</v>
      </c>
      <c r="O71" s="307">
        <v>5.3200000000000001E-3</v>
      </c>
      <c r="P71" s="227">
        <v>0.58033000000000001</v>
      </c>
      <c r="Q71" s="199">
        <v>0.57489999999999997</v>
      </c>
      <c r="R71" s="307">
        <v>1.1E-4</v>
      </c>
      <c r="S71" s="307">
        <v>5.3200000000000001E-3</v>
      </c>
      <c r="AF71" s="215"/>
    </row>
    <row r="72" spans="1:32" s="194" customFormat="1">
      <c r="A72" s="699"/>
      <c r="B72" s="683"/>
      <c r="C72" s="198" t="s">
        <v>1954</v>
      </c>
      <c r="D72" s="227">
        <v>0.86956999999999995</v>
      </c>
      <c r="E72" s="199">
        <v>0.86084000000000005</v>
      </c>
      <c r="F72" s="307">
        <v>1.8000000000000001E-4</v>
      </c>
      <c r="G72" s="307">
        <v>8.5500000000000003E-3</v>
      </c>
      <c r="H72" s="227">
        <v>0.94442000000000004</v>
      </c>
      <c r="I72" s="199">
        <v>0.93569000000000002</v>
      </c>
      <c r="J72" s="307">
        <v>1.8000000000000001E-4</v>
      </c>
      <c r="K72" s="307">
        <v>8.5500000000000003E-3</v>
      </c>
      <c r="L72" s="227">
        <v>1.01928</v>
      </c>
      <c r="M72" s="199">
        <v>1.0105500000000001</v>
      </c>
      <c r="N72" s="307">
        <v>1.8000000000000001E-4</v>
      </c>
      <c r="O72" s="307">
        <v>8.5500000000000003E-3</v>
      </c>
      <c r="P72" s="227">
        <v>0.93393999999999999</v>
      </c>
      <c r="Q72" s="199">
        <v>0.92520999999999998</v>
      </c>
      <c r="R72" s="307">
        <v>1.8000000000000001E-4</v>
      </c>
      <c r="S72" s="307">
        <v>8.5500000000000003E-3</v>
      </c>
      <c r="AF72" s="215"/>
    </row>
    <row r="73" spans="1:32" s="194" customFormat="1">
      <c r="A73" s="699"/>
      <c r="B73" s="683" t="s">
        <v>2103</v>
      </c>
      <c r="C73" s="198" t="s">
        <v>2093</v>
      </c>
      <c r="D73" s="200"/>
      <c r="E73" s="200"/>
      <c r="F73" s="200"/>
      <c r="G73" s="200"/>
      <c r="H73" s="227">
        <v>0.31213000000000002</v>
      </c>
      <c r="I73" s="199">
        <v>0.30952000000000002</v>
      </c>
      <c r="J73" s="307">
        <v>6.0000000000000002E-5</v>
      </c>
      <c r="K73" s="307">
        <v>2.5500000000000002E-3</v>
      </c>
      <c r="L73" s="227">
        <v>0.17541000000000001</v>
      </c>
      <c r="M73" s="199">
        <v>0.17410999999999999</v>
      </c>
      <c r="N73" s="307">
        <v>2.0000000000000002E-5</v>
      </c>
      <c r="O73" s="307">
        <v>1.2800000000000001E-3</v>
      </c>
      <c r="P73" s="227">
        <v>0.45286999999999999</v>
      </c>
      <c r="Q73" s="199">
        <v>0.44903999999999999</v>
      </c>
      <c r="R73" s="307">
        <v>8.0000000000000007E-5</v>
      </c>
      <c r="S73" s="307">
        <v>3.7499999999999999E-3</v>
      </c>
      <c r="AF73" s="215"/>
    </row>
    <row r="74" spans="1:32" s="194" customFormat="1">
      <c r="A74" s="699"/>
      <c r="B74" s="683"/>
      <c r="C74" s="198" t="s">
        <v>1953</v>
      </c>
      <c r="D74" s="227">
        <v>0.64802000000000004</v>
      </c>
      <c r="E74" s="199">
        <v>0.64141000000000004</v>
      </c>
      <c r="F74" s="307">
        <v>1.2999999999999999E-4</v>
      </c>
      <c r="G74" s="307">
        <v>6.4799999999999996E-3</v>
      </c>
      <c r="H74" s="227">
        <v>0.73965000000000003</v>
      </c>
      <c r="I74" s="199">
        <v>0.73304000000000002</v>
      </c>
      <c r="J74" s="307">
        <v>1.2999999999999999E-4</v>
      </c>
      <c r="K74" s="307">
        <v>6.4799999999999996E-3</v>
      </c>
      <c r="L74" s="227">
        <v>0.83128000000000002</v>
      </c>
      <c r="M74" s="199">
        <v>0.82467000000000001</v>
      </c>
      <c r="N74" s="307">
        <v>1.2999999999999999E-4</v>
      </c>
      <c r="O74" s="307">
        <v>6.4799999999999996E-3</v>
      </c>
      <c r="P74" s="227">
        <v>0.70850000000000002</v>
      </c>
      <c r="Q74" s="199">
        <v>0.70189000000000001</v>
      </c>
      <c r="R74" s="307">
        <v>1.2999999999999999E-4</v>
      </c>
      <c r="S74" s="307">
        <v>6.4799999999999996E-3</v>
      </c>
      <c r="AF74" s="215"/>
    </row>
    <row r="75" spans="1:32" s="194" customFormat="1">
      <c r="A75" s="699"/>
      <c r="B75" s="683"/>
      <c r="C75" s="198" t="s">
        <v>1954</v>
      </c>
      <c r="D75" s="227">
        <v>1.0428999999999999</v>
      </c>
      <c r="E75" s="199">
        <v>1.0322499999999999</v>
      </c>
      <c r="F75" s="307">
        <v>2.2000000000000001E-4</v>
      </c>
      <c r="G75" s="307">
        <v>1.043E-2</v>
      </c>
      <c r="H75" s="227">
        <v>1.1903600000000001</v>
      </c>
      <c r="I75" s="199">
        <v>1.17971</v>
      </c>
      <c r="J75" s="307">
        <v>2.2000000000000001E-4</v>
      </c>
      <c r="K75" s="307">
        <v>1.043E-2</v>
      </c>
      <c r="L75" s="227">
        <v>1.3378300000000001</v>
      </c>
      <c r="M75" s="199">
        <v>1.32718</v>
      </c>
      <c r="N75" s="307">
        <v>2.2000000000000001E-4</v>
      </c>
      <c r="O75" s="307">
        <v>1.043E-2</v>
      </c>
      <c r="P75" s="227">
        <v>1.14022</v>
      </c>
      <c r="Q75" s="199">
        <v>1.12957</v>
      </c>
      <c r="R75" s="307">
        <v>2.2000000000000001E-4</v>
      </c>
      <c r="S75" s="307">
        <v>1.043E-2</v>
      </c>
      <c r="AF75" s="215"/>
    </row>
    <row r="76" spans="1:32" s="194" customFormat="1">
      <c r="A76" s="699"/>
      <c r="B76" s="683" t="s">
        <v>2104</v>
      </c>
      <c r="C76" s="198" t="s">
        <v>2093</v>
      </c>
      <c r="D76" s="200"/>
      <c r="E76" s="200"/>
      <c r="F76" s="200"/>
      <c r="G76" s="200"/>
      <c r="H76" s="227">
        <v>0.23905999999999999</v>
      </c>
      <c r="I76" s="199">
        <v>0.23669999999999999</v>
      </c>
      <c r="J76" s="307">
        <v>4.0000000000000003E-5</v>
      </c>
      <c r="K76" s="307">
        <v>2.32E-3</v>
      </c>
      <c r="L76" s="227">
        <v>0.14083000000000001</v>
      </c>
      <c r="M76" s="199">
        <v>0.13965</v>
      </c>
      <c r="N76" s="307">
        <v>2.0000000000000002E-5</v>
      </c>
      <c r="O76" s="307">
        <v>1.16E-3</v>
      </c>
      <c r="P76" s="227">
        <v>0.18329999999999999</v>
      </c>
      <c r="Q76" s="199">
        <v>0.18124999999999999</v>
      </c>
      <c r="R76" s="307">
        <v>4.0000000000000003E-5</v>
      </c>
      <c r="S76" s="307">
        <v>2.0100000000000001E-3</v>
      </c>
      <c r="AF76" s="215"/>
    </row>
    <row r="77" spans="1:32" s="194" customFormat="1">
      <c r="A77" s="699"/>
      <c r="B77" s="683"/>
      <c r="C77" s="198" t="s">
        <v>1953</v>
      </c>
      <c r="D77" s="227">
        <v>0.89249999999999996</v>
      </c>
      <c r="E77" s="199">
        <v>0.88168999999999997</v>
      </c>
      <c r="F77" s="307">
        <v>2.2000000000000001E-4</v>
      </c>
      <c r="G77" s="307">
        <v>1.059E-2</v>
      </c>
      <c r="H77" s="227">
        <v>1.0860399999999999</v>
      </c>
      <c r="I77" s="199">
        <v>1.0752299999999999</v>
      </c>
      <c r="J77" s="307">
        <v>2.2000000000000001E-4</v>
      </c>
      <c r="K77" s="307">
        <v>1.059E-2</v>
      </c>
      <c r="L77" s="227">
        <v>1.2795799999999999</v>
      </c>
      <c r="M77" s="199">
        <v>1.26877</v>
      </c>
      <c r="N77" s="307">
        <v>2.2000000000000001E-4</v>
      </c>
      <c r="O77" s="307">
        <v>1.059E-2</v>
      </c>
      <c r="P77" s="227">
        <v>1.16344</v>
      </c>
      <c r="Q77" s="199">
        <v>1.15263</v>
      </c>
      <c r="R77" s="307">
        <v>2.2000000000000001E-4</v>
      </c>
      <c r="S77" s="307">
        <v>1.059E-2</v>
      </c>
      <c r="AF77" s="215"/>
    </row>
    <row r="78" spans="1:32" s="194" customFormat="1">
      <c r="A78" s="699"/>
      <c r="B78" s="683"/>
      <c r="C78" s="198" t="s">
        <v>1954</v>
      </c>
      <c r="D78" s="227">
        <v>1.43635</v>
      </c>
      <c r="E78" s="199">
        <v>1.4189400000000001</v>
      </c>
      <c r="F78" s="307">
        <v>3.6999999999999999E-4</v>
      </c>
      <c r="G78" s="307">
        <v>1.704E-2</v>
      </c>
      <c r="H78" s="227">
        <v>1.74783</v>
      </c>
      <c r="I78" s="199">
        <v>1.7304200000000001</v>
      </c>
      <c r="J78" s="307">
        <v>3.6999999999999999E-4</v>
      </c>
      <c r="K78" s="307">
        <v>1.704E-2</v>
      </c>
      <c r="L78" s="227">
        <v>2.0592999999999999</v>
      </c>
      <c r="M78" s="199">
        <v>2.04189</v>
      </c>
      <c r="N78" s="307">
        <v>3.6999999999999999E-4</v>
      </c>
      <c r="O78" s="307">
        <v>1.704E-2</v>
      </c>
      <c r="P78" s="227">
        <v>1.87239</v>
      </c>
      <c r="Q78" s="199">
        <v>1.8549800000000001</v>
      </c>
      <c r="R78" s="307">
        <v>3.6999999999999999E-4</v>
      </c>
      <c r="S78" s="307">
        <v>1.704E-2</v>
      </c>
      <c r="AF78" s="215"/>
    </row>
    <row r="79" spans="1:32" s="194" customFormat="1">
      <c r="A79" s="699"/>
      <c r="B79" s="683" t="s">
        <v>2105</v>
      </c>
      <c r="C79" s="198" t="s">
        <v>2093</v>
      </c>
      <c r="D79" s="200"/>
      <c r="E79" s="200"/>
      <c r="F79" s="200"/>
      <c r="G79" s="200"/>
      <c r="H79" s="227">
        <v>0.25495000000000001</v>
      </c>
      <c r="I79" s="199">
        <v>0.25240000000000001</v>
      </c>
      <c r="J79" s="307">
        <v>6.0000000000000002E-5</v>
      </c>
      <c r="K79" s="307">
        <v>2.49E-3</v>
      </c>
      <c r="L79" s="227">
        <v>0.14867</v>
      </c>
      <c r="M79" s="199">
        <v>0.14741000000000001</v>
      </c>
      <c r="N79" s="307">
        <v>2.0000000000000002E-5</v>
      </c>
      <c r="O79" s="307">
        <v>1.24E-3</v>
      </c>
      <c r="P79" s="227">
        <v>0.21254000000000001</v>
      </c>
      <c r="Q79" s="199">
        <v>0.21021000000000001</v>
      </c>
      <c r="R79" s="307">
        <v>4.0000000000000003E-5</v>
      </c>
      <c r="S79" s="307">
        <v>2.2899999999999999E-3</v>
      </c>
      <c r="AF79" s="215"/>
    </row>
    <row r="80" spans="1:32" s="194" customFormat="1">
      <c r="A80" s="699"/>
      <c r="B80" s="683"/>
      <c r="C80" s="198" t="s">
        <v>1953</v>
      </c>
      <c r="D80" s="227">
        <v>0.78756999999999999</v>
      </c>
      <c r="E80" s="199">
        <v>0.77849999999999997</v>
      </c>
      <c r="F80" s="307">
        <v>1.9000000000000001E-4</v>
      </c>
      <c r="G80" s="307">
        <v>8.8800000000000007E-3</v>
      </c>
      <c r="H80" s="227">
        <v>0.93735999999999997</v>
      </c>
      <c r="I80" s="199">
        <v>0.92828999999999995</v>
      </c>
      <c r="J80" s="307">
        <v>1.9000000000000001E-4</v>
      </c>
      <c r="K80" s="307">
        <v>8.8800000000000007E-3</v>
      </c>
      <c r="L80" s="227">
        <v>1.0871500000000001</v>
      </c>
      <c r="M80" s="199">
        <v>1.0780799999999999</v>
      </c>
      <c r="N80" s="307">
        <v>1.9000000000000001E-4</v>
      </c>
      <c r="O80" s="307">
        <v>8.8800000000000007E-3</v>
      </c>
      <c r="P80" s="227">
        <v>0.98434999999999995</v>
      </c>
      <c r="Q80" s="199">
        <v>0.97528000000000004</v>
      </c>
      <c r="R80" s="307">
        <v>1.9000000000000001E-4</v>
      </c>
      <c r="S80" s="307">
        <v>8.8800000000000007E-3</v>
      </c>
      <c r="AF80" s="215"/>
    </row>
    <row r="81" spans="1:32" s="194" customFormat="1">
      <c r="A81" s="699"/>
      <c r="B81" s="683"/>
      <c r="C81" s="198" t="s">
        <v>1954</v>
      </c>
      <c r="D81" s="227">
        <v>1.26746</v>
      </c>
      <c r="E81" s="199">
        <v>1.2528699999999999</v>
      </c>
      <c r="F81" s="307">
        <v>2.9999999999999997E-4</v>
      </c>
      <c r="G81" s="307">
        <v>1.4290000000000001E-2</v>
      </c>
      <c r="H81" s="227">
        <v>1.5085200000000001</v>
      </c>
      <c r="I81" s="199">
        <v>1.49393</v>
      </c>
      <c r="J81" s="307">
        <v>2.9999999999999997E-4</v>
      </c>
      <c r="K81" s="307">
        <v>1.4290000000000001E-2</v>
      </c>
      <c r="L81" s="227">
        <v>1.74959</v>
      </c>
      <c r="M81" s="199">
        <v>1.7350000000000001</v>
      </c>
      <c r="N81" s="307">
        <v>2.9999999999999997E-4</v>
      </c>
      <c r="O81" s="307">
        <v>1.4290000000000001E-2</v>
      </c>
      <c r="P81" s="227">
        <v>1.5841400000000001</v>
      </c>
      <c r="Q81" s="199">
        <v>1.56955</v>
      </c>
      <c r="R81" s="307">
        <v>2.9999999999999997E-4</v>
      </c>
      <c r="S81" s="307">
        <v>1.4290000000000001E-2</v>
      </c>
      <c r="AF81" s="215"/>
    </row>
    <row r="82" spans="1:32" s="194" customFormat="1">
      <c r="A82" s="699"/>
      <c r="B82" s="683" t="s">
        <v>2106</v>
      </c>
      <c r="C82" s="198" t="s">
        <v>2093</v>
      </c>
      <c r="D82" s="200"/>
      <c r="E82" s="200"/>
      <c r="F82" s="200"/>
      <c r="G82" s="200"/>
      <c r="H82" s="227">
        <v>0.13078000000000001</v>
      </c>
      <c r="I82" s="199">
        <v>0.12886</v>
      </c>
      <c r="J82" s="307">
        <v>2.0000000000000002E-5</v>
      </c>
      <c r="K82" s="307">
        <v>1.9E-3</v>
      </c>
      <c r="L82" s="227">
        <v>7.8270000000000006E-2</v>
      </c>
      <c r="M82" s="199">
        <v>7.7310000000000004E-2</v>
      </c>
      <c r="N82" s="307">
        <v>1.0000000000000001E-5</v>
      </c>
      <c r="O82" s="307">
        <v>9.5E-4</v>
      </c>
      <c r="P82" s="227">
        <v>0.13086</v>
      </c>
      <c r="Q82" s="199">
        <v>0.12886</v>
      </c>
      <c r="R82" s="307">
        <v>2.0000000000000002E-5</v>
      </c>
      <c r="S82" s="307">
        <v>1.98E-3</v>
      </c>
      <c r="AF82" s="215"/>
    </row>
    <row r="83" spans="1:32" s="194" customFormat="1">
      <c r="A83" s="699"/>
      <c r="B83" s="683"/>
      <c r="C83" s="198" t="s">
        <v>1953</v>
      </c>
      <c r="D83" s="227">
        <v>0.71192999999999995</v>
      </c>
      <c r="E83" s="199">
        <v>0.69972000000000001</v>
      </c>
      <c r="F83" s="307">
        <v>1.2E-4</v>
      </c>
      <c r="G83" s="307">
        <v>1.209E-2</v>
      </c>
      <c r="H83" s="227">
        <v>0.88685999999999998</v>
      </c>
      <c r="I83" s="199">
        <v>0.87465000000000004</v>
      </c>
      <c r="J83" s="307">
        <v>1.2E-4</v>
      </c>
      <c r="K83" s="307">
        <v>1.209E-2</v>
      </c>
      <c r="L83" s="227">
        <v>1.06179</v>
      </c>
      <c r="M83" s="199">
        <v>1.04958</v>
      </c>
      <c r="N83" s="307">
        <v>1.2E-4</v>
      </c>
      <c r="O83" s="307">
        <v>1.209E-2</v>
      </c>
      <c r="P83" s="227">
        <v>0.88685999999999998</v>
      </c>
      <c r="Q83" s="199">
        <v>0.87465000000000004</v>
      </c>
      <c r="R83" s="307">
        <v>1.2E-4</v>
      </c>
      <c r="S83" s="307">
        <v>1.209E-2</v>
      </c>
      <c r="AF83" s="215"/>
    </row>
    <row r="84" spans="1:32" s="194" customFormat="1">
      <c r="A84" s="699"/>
      <c r="B84" s="683"/>
      <c r="C84" s="198" t="s">
        <v>1954</v>
      </c>
      <c r="D84" s="227">
        <v>1.1457200000000001</v>
      </c>
      <c r="E84" s="199">
        <v>1.12609</v>
      </c>
      <c r="F84" s="307">
        <v>1.9000000000000001E-4</v>
      </c>
      <c r="G84" s="307">
        <v>1.9439999999999999E-2</v>
      </c>
      <c r="H84" s="227">
        <v>1.4272499999999999</v>
      </c>
      <c r="I84" s="199">
        <v>1.4076200000000001</v>
      </c>
      <c r="J84" s="307">
        <v>1.9000000000000001E-4</v>
      </c>
      <c r="K84" s="307">
        <v>1.9439999999999999E-2</v>
      </c>
      <c r="L84" s="227">
        <v>1.7087699999999999</v>
      </c>
      <c r="M84" s="199">
        <v>1.6891400000000001</v>
      </c>
      <c r="N84" s="307">
        <v>1.9000000000000001E-4</v>
      </c>
      <c r="O84" s="307">
        <v>1.9439999999999999E-2</v>
      </c>
      <c r="P84" s="227">
        <v>1.4272499999999999</v>
      </c>
      <c r="Q84" s="199">
        <v>1.4076200000000001</v>
      </c>
      <c r="R84" s="307">
        <v>1.9000000000000001E-4</v>
      </c>
      <c r="S84" s="307">
        <v>1.9439999999999999E-2</v>
      </c>
      <c r="AF84" s="215"/>
    </row>
    <row r="85" spans="1:32" s="194" customFormat="1">
      <c r="A85" s="699"/>
      <c r="B85" s="683" t="s">
        <v>2107</v>
      </c>
      <c r="C85" s="198" t="s">
        <v>2093</v>
      </c>
      <c r="D85" s="200"/>
      <c r="E85" s="200"/>
      <c r="F85" s="200"/>
      <c r="G85" s="200"/>
      <c r="H85" s="227">
        <v>0.10753</v>
      </c>
      <c r="I85" s="199">
        <v>0.10594000000000001</v>
      </c>
      <c r="J85" s="307">
        <v>1.0000000000000001E-5</v>
      </c>
      <c r="K85" s="307">
        <v>1.58E-3</v>
      </c>
      <c r="L85" s="227">
        <v>6.701E-2</v>
      </c>
      <c r="M85" s="199">
        <v>6.6210000000000005E-2</v>
      </c>
      <c r="N85" s="307">
        <v>1.0000000000000001E-5</v>
      </c>
      <c r="O85" s="307">
        <v>7.9000000000000001E-4</v>
      </c>
      <c r="P85" s="227">
        <v>8.6169999999999997E-2</v>
      </c>
      <c r="Q85" s="199">
        <v>8.4909999999999999E-2</v>
      </c>
      <c r="R85" s="307">
        <v>1.0000000000000001E-5</v>
      </c>
      <c r="S85" s="307">
        <v>1.25E-3</v>
      </c>
      <c r="AF85" s="215"/>
    </row>
    <row r="86" spans="1:32" s="194" customFormat="1">
      <c r="A86" s="699"/>
      <c r="B86" s="683"/>
      <c r="C86" s="198" t="s">
        <v>1953</v>
      </c>
      <c r="D86" s="227">
        <v>0.73104999999999998</v>
      </c>
      <c r="E86" s="199">
        <v>0.71652000000000005</v>
      </c>
      <c r="F86" s="307">
        <v>1.4999999999999999E-4</v>
      </c>
      <c r="G86" s="307">
        <v>1.438E-2</v>
      </c>
      <c r="H86" s="227">
        <v>0.96989000000000003</v>
      </c>
      <c r="I86" s="199">
        <v>0.95535999999999999</v>
      </c>
      <c r="J86" s="307">
        <v>1.4999999999999999E-4</v>
      </c>
      <c r="K86" s="307">
        <v>1.438E-2</v>
      </c>
      <c r="L86" s="227">
        <v>1.2087300000000001</v>
      </c>
      <c r="M86" s="199">
        <v>1.1941999999999999</v>
      </c>
      <c r="N86" s="307">
        <v>1.4999999999999999E-4</v>
      </c>
      <c r="O86" s="307">
        <v>1.438E-2</v>
      </c>
      <c r="P86" s="227">
        <v>1.0558700000000001</v>
      </c>
      <c r="Q86" s="199">
        <v>1.0413399999999999</v>
      </c>
      <c r="R86" s="307">
        <v>1.4999999999999999E-4</v>
      </c>
      <c r="S86" s="307">
        <v>1.438E-2</v>
      </c>
      <c r="AF86" s="215"/>
    </row>
    <row r="87" spans="1:32" s="194" customFormat="1">
      <c r="A87" s="699"/>
      <c r="B87" s="683"/>
      <c r="C87" s="198" t="s">
        <v>1954</v>
      </c>
      <c r="D87" s="227">
        <v>1.17649</v>
      </c>
      <c r="E87" s="199">
        <v>1.15313</v>
      </c>
      <c r="F87" s="307">
        <v>2.2000000000000001E-4</v>
      </c>
      <c r="G87" s="307">
        <v>2.3140000000000001E-2</v>
      </c>
      <c r="H87" s="227">
        <v>1.56087</v>
      </c>
      <c r="I87" s="199">
        <v>1.5375099999999999</v>
      </c>
      <c r="J87" s="307">
        <v>2.2000000000000001E-4</v>
      </c>
      <c r="K87" s="307">
        <v>2.3140000000000001E-2</v>
      </c>
      <c r="L87" s="227">
        <v>1.9452400000000001</v>
      </c>
      <c r="M87" s="199">
        <v>1.92188</v>
      </c>
      <c r="N87" s="307">
        <v>2.2000000000000001E-4</v>
      </c>
      <c r="O87" s="307">
        <v>2.3140000000000001E-2</v>
      </c>
      <c r="P87" s="227">
        <v>1.6992400000000001</v>
      </c>
      <c r="Q87" s="199">
        <v>1.67588</v>
      </c>
      <c r="R87" s="307">
        <v>2.2000000000000001E-4</v>
      </c>
      <c r="S87" s="307">
        <v>2.3140000000000001E-2</v>
      </c>
      <c r="AF87" s="215"/>
    </row>
    <row r="88" spans="1:32" s="194" customFormat="1">
      <c r="A88" s="699"/>
      <c r="B88" s="683" t="s">
        <v>2108</v>
      </c>
      <c r="C88" s="198" t="s">
        <v>2093</v>
      </c>
      <c r="D88" s="200"/>
      <c r="E88" s="200"/>
      <c r="F88" s="200"/>
      <c r="G88" s="200"/>
      <c r="H88" s="227">
        <v>0.10813</v>
      </c>
      <c r="I88" s="199">
        <v>0.10653</v>
      </c>
      <c r="J88" s="307">
        <v>1.0000000000000001E-5</v>
      </c>
      <c r="K88" s="307">
        <v>1.5900000000000001E-3</v>
      </c>
      <c r="L88" s="227">
        <v>6.7299999999999999E-2</v>
      </c>
      <c r="M88" s="199">
        <v>6.6500000000000004E-2</v>
      </c>
      <c r="N88" s="307">
        <v>1.0000000000000001E-5</v>
      </c>
      <c r="O88" s="307">
        <v>7.9000000000000001E-4</v>
      </c>
      <c r="P88" s="227">
        <v>8.7319999999999995E-2</v>
      </c>
      <c r="Q88" s="199">
        <v>8.6040000000000005E-2</v>
      </c>
      <c r="R88" s="307">
        <v>1.0000000000000001E-5</v>
      </c>
      <c r="S88" s="307">
        <v>1.2700000000000001E-3</v>
      </c>
      <c r="AF88" s="215"/>
    </row>
    <row r="89" spans="1:32" s="194" customFormat="1">
      <c r="A89" s="699"/>
      <c r="B89" s="683"/>
      <c r="C89" s="198" t="s">
        <v>1953</v>
      </c>
      <c r="D89" s="227">
        <v>0.73018000000000005</v>
      </c>
      <c r="E89" s="199">
        <v>0.71575</v>
      </c>
      <c r="F89" s="307">
        <v>1.4999999999999999E-4</v>
      </c>
      <c r="G89" s="307">
        <v>1.4279999999999999E-2</v>
      </c>
      <c r="H89" s="227">
        <v>0.96611000000000002</v>
      </c>
      <c r="I89" s="199">
        <v>0.95167999999999997</v>
      </c>
      <c r="J89" s="307">
        <v>1.4999999999999999E-4</v>
      </c>
      <c r="K89" s="307">
        <v>1.4279999999999999E-2</v>
      </c>
      <c r="L89" s="227">
        <v>1.2020299999999999</v>
      </c>
      <c r="M89" s="199">
        <v>1.1876</v>
      </c>
      <c r="N89" s="307">
        <v>1.4999999999999999E-4</v>
      </c>
      <c r="O89" s="307">
        <v>1.4279999999999999E-2</v>
      </c>
      <c r="P89" s="227">
        <v>1.04817</v>
      </c>
      <c r="Q89" s="199">
        <v>1.0337400000000001</v>
      </c>
      <c r="R89" s="307">
        <v>1.4999999999999999E-4</v>
      </c>
      <c r="S89" s="307">
        <v>1.4279999999999999E-2</v>
      </c>
      <c r="AF89" s="215"/>
    </row>
    <row r="90" spans="1:32" s="194" customFormat="1">
      <c r="A90" s="699"/>
      <c r="B90" s="683"/>
      <c r="C90" s="198" t="s">
        <v>1954</v>
      </c>
      <c r="D90" s="227">
        <v>1.1751100000000001</v>
      </c>
      <c r="E90" s="199">
        <v>1.1518999999999999</v>
      </c>
      <c r="F90" s="307">
        <v>2.2000000000000001E-4</v>
      </c>
      <c r="G90" s="307">
        <v>2.299E-2</v>
      </c>
      <c r="H90" s="227">
        <v>1.5547899999999999</v>
      </c>
      <c r="I90" s="199">
        <v>1.5315799999999999</v>
      </c>
      <c r="J90" s="307">
        <v>2.2000000000000001E-4</v>
      </c>
      <c r="K90" s="307">
        <v>2.299E-2</v>
      </c>
      <c r="L90" s="227">
        <v>1.9344699999999999</v>
      </c>
      <c r="M90" s="199">
        <v>1.91126</v>
      </c>
      <c r="N90" s="307">
        <v>2.2000000000000001E-4</v>
      </c>
      <c r="O90" s="307">
        <v>2.299E-2</v>
      </c>
      <c r="P90" s="227">
        <v>1.68685</v>
      </c>
      <c r="Q90" s="199">
        <v>1.66364</v>
      </c>
      <c r="R90" s="307">
        <v>2.2000000000000001E-4</v>
      </c>
      <c r="S90" s="307">
        <v>2.299E-2</v>
      </c>
      <c r="AF90" s="215"/>
    </row>
    <row r="91" spans="1:32" s="194" customFormat="1">
      <c r="A91" s="699"/>
      <c r="B91" s="683" t="s">
        <v>2109</v>
      </c>
      <c r="C91" s="198" t="s">
        <v>2093</v>
      </c>
      <c r="D91" s="200"/>
      <c r="E91" s="200"/>
      <c r="F91" s="200"/>
      <c r="G91" s="200"/>
      <c r="H91" s="227">
        <v>0.13963999999999999</v>
      </c>
      <c r="I91" s="199">
        <v>0.13783999999999999</v>
      </c>
      <c r="J91" s="307">
        <v>2.0000000000000002E-5</v>
      </c>
      <c r="K91" s="307">
        <v>1.7799999999999999E-3</v>
      </c>
      <c r="L91" s="227">
        <v>8.4809999999999997E-2</v>
      </c>
      <c r="M91" s="199">
        <v>8.3909999999999998E-2</v>
      </c>
      <c r="N91" s="307">
        <v>1.0000000000000001E-5</v>
      </c>
      <c r="O91" s="307">
        <v>8.8999999999999995E-4</v>
      </c>
      <c r="P91" s="227">
        <v>0.11416999999999999</v>
      </c>
      <c r="Q91" s="199">
        <v>0.11266</v>
      </c>
      <c r="R91" s="307">
        <v>2.0000000000000002E-5</v>
      </c>
      <c r="S91" s="307">
        <v>1.49E-3</v>
      </c>
      <c r="AF91" s="215"/>
    </row>
    <row r="92" spans="1:32" s="194" customFormat="1">
      <c r="A92" s="699"/>
      <c r="B92" s="683"/>
      <c r="C92" s="198" t="s">
        <v>1953</v>
      </c>
      <c r="D92" s="227">
        <v>0.75351000000000001</v>
      </c>
      <c r="E92" s="199">
        <v>0.74139999999999995</v>
      </c>
      <c r="F92" s="307">
        <v>1.6000000000000001E-4</v>
      </c>
      <c r="G92" s="307">
        <v>1.1950000000000001E-2</v>
      </c>
      <c r="H92" s="227">
        <v>0.95445999999999998</v>
      </c>
      <c r="I92" s="199">
        <v>0.94235000000000002</v>
      </c>
      <c r="J92" s="307">
        <v>1.6000000000000001E-4</v>
      </c>
      <c r="K92" s="307">
        <v>1.1950000000000001E-2</v>
      </c>
      <c r="L92" s="227">
        <v>1.1554199999999999</v>
      </c>
      <c r="M92" s="199">
        <v>1.14331</v>
      </c>
      <c r="N92" s="307">
        <v>1.6000000000000001E-4</v>
      </c>
      <c r="O92" s="307">
        <v>1.1950000000000001E-2</v>
      </c>
      <c r="P92" s="227">
        <v>1.0222800000000001</v>
      </c>
      <c r="Q92" s="199">
        <v>1.01017</v>
      </c>
      <c r="R92" s="307">
        <v>1.6000000000000001E-4</v>
      </c>
      <c r="S92" s="307">
        <v>1.1950000000000001E-2</v>
      </c>
      <c r="AF92" s="215"/>
    </row>
    <row r="93" spans="1:32" s="194" customFormat="1">
      <c r="A93" s="699"/>
      <c r="B93" s="683"/>
      <c r="C93" s="198" t="s">
        <v>1954</v>
      </c>
      <c r="D93" s="227">
        <v>1.2126600000000001</v>
      </c>
      <c r="E93" s="199">
        <v>1.1931700000000001</v>
      </c>
      <c r="F93" s="307">
        <v>2.5999999999999998E-4</v>
      </c>
      <c r="G93" s="307">
        <v>1.9230000000000001E-2</v>
      </c>
      <c r="H93" s="227">
        <v>1.53606</v>
      </c>
      <c r="I93" s="199">
        <v>1.51657</v>
      </c>
      <c r="J93" s="307">
        <v>2.5999999999999998E-4</v>
      </c>
      <c r="K93" s="307">
        <v>1.9230000000000001E-2</v>
      </c>
      <c r="L93" s="227">
        <v>1.8594599999999999</v>
      </c>
      <c r="M93" s="199">
        <v>1.8399700000000001</v>
      </c>
      <c r="N93" s="307">
        <v>2.5999999999999998E-4</v>
      </c>
      <c r="O93" s="307">
        <v>1.9230000000000001E-2</v>
      </c>
      <c r="P93" s="227">
        <v>1.6452</v>
      </c>
      <c r="Q93" s="199">
        <v>1.62571</v>
      </c>
      <c r="R93" s="307">
        <v>2.5999999999999998E-4</v>
      </c>
      <c r="S93" s="307">
        <v>1.9230000000000001E-2</v>
      </c>
      <c r="AF93" s="215"/>
    </row>
    <row r="94" spans="1:32" s="194" customFormat="1">
      <c r="A94" s="235"/>
      <c r="B94" s="216"/>
    </row>
    <row r="95" spans="1:32" s="194" customFormat="1">
      <c r="A95" s="235"/>
      <c r="B95" s="216"/>
      <c r="D95" s="215"/>
      <c r="E95" s="215"/>
      <c r="F95" s="215"/>
      <c r="G95" s="215"/>
      <c r="H95" s="215"/>
      <c r="I95" s="215"/>
      <c r="J95" s="215"/>
      <c r="K95" s="215"/>
    </row>
    <row r="96" spans="1:32" s="194" customFormat="1">
      <c r="A96" s="235"/>
      <c r="B96" s="216"/>
      <c r="D96" s="723" t="s">
        <v>1899</v>
      </c>
      <c r="E96" s="723"/>
      <c r="F96" s="723"/>
      <c r="G96" s="723"/>
      <c r="H96" s="723" t="s">
        <v>1900</v>
      </c>
      <c r="I96" s="723"/>
      <c r="J96" s="723"/>
      <c r="K96" s="723"/>
    </row>
    <row r="97" spans="1:32" s="194" customFormat="1" ht="15.6">
      <c r="A97" s="232" t="s">
        <v>1629</v>
      </c>
      <c r="B97" s="212" t="s">
        <v>1771</v>
      </c>
      <c r="C97" s="196" t="s">
        <v>1631</v>
      </c>
      <c r="D97" s="198" t="s">
        <v>1632</v>
      </c>
      <c r="E97" s="198" t="s">
        <v>1903</v>
      </c>
      <c r="F97" s="198" t="s">
        <v>1904</v>
      </c>
      <c r="G97" s="198" t="s">
        <v>1905</v>
      </c>
      <c r="H97" s="198" t="s">
        <v>1632</v>
      </c>
      <c r="I97" s="198" t="s">
        <v>1903</v>
      </c>
      <c r="J97" s="198" t="s">
        <v>1904</v>
      </c>
      <c r="K97" s="198" t="s">
        <v>1905</v>
      </c>
    </row>
    <row r="98" spans="1:32" s="194" customFormat="1">
      <c r="A98" s="699" t="s">
        <v>2111</v>
      </c>
      <c r="B98" s="266" t="s">
        <v>1907</v>
      </c>
      <c r="C98" s="198" t="s">
        <v>2093</v>
      </c>
      <c r="D98" s="227">
        <v>4.6734</v>
      </c>
      <c r="E98" s="308">
        <v>4.6464600000000003</v>
      </c>
      <c r="F98" s="308">
        <v>3.9300000000000003E-3</v>
      </c>
      <c r="G98" s="308">
        <v>2.3009999999999999E-2</v>
      </c>
      <c r="H98" s="227">
        <v>2.7601499999999999</v>
      </c>
      <c r="I98" s="308">
        <v>2.7332100000000001</v>
      </c>
      <c r="J98" s="308">
        <v>3.9300000000000003E-3</v>
      </c>
      <c r="K98" s="308">
        <v>2.3009999999999999E-2</v>
      </c>
      <c r="AF98" s="215"/>
    </row>
    <row r="99" spans="1:32" s="194" customFormat="1">
      <c r="A99" s="699"/>
      <c r="B99" s="266" t="s">
        <v>1910</v>
      </c>
      <c r="C99" s="198" t="s">
        <v>2093</v>
      </c>
      <c r="D99" s="227">
        <v>1.6681600000000001</v>
      </c>
      <c r="E99" s="308">
        <v>1.6598599999999999</v>
      </c>
      <c r="F99" s="308">
        <v>8.0000000000000007E-5</v>
      </c>
      <c r="G99" s="308">
        <v>8.2199999999999999E-3</v>
      </c>
      <c r="H99" s="227">
        <v>0.98468999999999995</v>
      </c>
      <c r="I99" s="308">
        <v>0.97638999999999998</v>
      </c>
      <c r="J99" s="308">
        <v>8.0000000000000007E-5</v>
      </c>
      <c r="K99" s="308">
        <v>8.2199999999999999E-3</v>
      </c>
      <c r="AF99" s="215"/>
    </row>
    <row r="100" spans="1:32" s="194" customFormat="1">
      <c r="A100" s="699"/>
      <c r="B100" s="266" t="s">
        <v>1913</v>
      </c>
      <c r="C100" s="198" t="s">
        <v>2093</v>
      </c>
      <c r="D100" s="227">
        <v>1.09904</v>
      </c>
      <c r="E100" s="308">
        <v>1.0935600000000001</v>
      </c>
      <c r="F100" s="308">
        <v>6.0000000000000002E-5</v>
      </c>
      <c r="G100" s="308">
        <v>5.4200000000000003E-3</v>
      </c>
      <c r="H100" s="227">
        <v>0.64875000000000005</v>
      </c>
      <c r="I100" s="308">
        <v>0.64327000000000001</v>
      </c>
      <c r="J100" s="308">
        <v>6.0000000000000002E-5</v>
      </c>
      <c r="K100" s="308">
        <v>5.4200000000000003E-3</v>
      </c>
      <c r="AF100" s="215"/>
    </row>
    <row r="101" spans="1:32" s="194" customFormat="1">
      <c r="A101" s="699"/>
      <c r="B101" s="266" t="s">
        <v>1916</v>
      </c>
      <c r="C101" s="198" t="s">
        <v>2093</v>
      </c>
      <c r="D101" s="227">
        <v>1.09904</v>
      </c>
      <c r="E101" s="308">
        <v>1.0935600000000001</v>
      </c>
      <c r="F101" s="308">
        <v>6.0000000000000002E-5</v>
      </c>
      <c r="G101" s="308">
        <v>5.4200000000000003E-3</v>
      </c>
      <c r="H101" s="227">
        <v>0.64875000000000005</v>
      </c>
      <c r="I101" s="308">
        <v>0.64327000000000001</v>
      </c>
      <c r="J101" s="308">
        <v>6.0000000000000002E-5</v>
      </c>
      <c r="K101" s="308">
        <v>5.4200000000000003E-3</v>
      </c>
      <c r="AF101" s="215"/>
    </row>
    <row r="102" spans="1:32" s="194" customFormat="1">
      <c r="A102" s="235"/>
      <c r="B102" s="216"/>
    </row>
    <row r="103" spans="1:32" s="194" customFormat="1">
      <c r="A103" s="235"/>
      <c r="B103" s="216"/>
    </row>
    <row r="104" spans="1:32" s="194" customFormat="1">
      <c r="A104" s="235"/>
      <c r="B104" s="216"/>
    </row>
    <row r="105" spans="1:32" s="194" customFormat="1" ht="15.6">
      <c r="A105" s="232" t="s">
        <v>1629</v>
      </c>
      <c r="B105" s="212" t="s">
        <v>1771</v>
      </c>
      <c r="C105" s="196" t="s">
        <v>1631</v>
      </c>
      <c r="D105" s="198" t="s">
        <v>1632</v>
      </c>
      <c r="E105" s="198" t="s">
        <v>1903</v>
      </c>
      <c r="F105" s="198" t="s">
        <v>1904</v>
      </c>
      <c r="G105" s="198" t="s">
        <v>1905</v>
      </c>
    </row>
    <row r="106" spans="1:32" s="194" customFormat="1">
      <c r="A106" s="233" t="s">
        <v>1981</v>
      </c>
      <c r="B106" s="266" t="s">
        <v>2112</v>
      </c>
      <c r="C106" s="198" t="s">
        <v>2093</v>
      </c>
      <c r="D106" s="307">
        <v>2.7789999999999999E-2</v>
      </c>
      <c r="E106" s="225">
        <v>2.7490000000000001E-2</v>
      </c>
      <c r="F106" s="225">
        <v>2.0000000000000002E-5</v>
      </c>
      <c r="G106" s="225">
        <v>2.7999999999999998E-4</v>
      </c>
      <c r="AF106" s="215"/>
    </row>
    <row r="107" spans="1:32" s="194" customFormat="1">
      <c r="A107" s="235"/>
      <c r="B107" s="216"/>
    </row>
    <row r="108" spans="1:32" s="194" customFormat="1">
      <c r="A108" s="235"/>
      <c r="B108" s="216"/>
    </row>
    <row r="109" spans="1:32" s="194" customFormat="1">
      <c r="A109" s="235"/>
      <c r="B109" s="216"/>
      <c r="G109" s="251" t="s">
        <v>1945</v>
      </c>
    </row>
    <row r="110" spans="1:32" s="194" customFormat="1" ht="15.6">
      <c r="A110" s="232" t="s">
        <v>1629</v>
      </c>
      <c r="B110" s="212" t="s">
        <v>1771</v>
      </c>
      <c r="C110" s="196" t="s">
        <v>2113</v>
      </c>
      <c r="D110" s="196" t="s">
        <v>1631</v>
      </c>
      <c r="E110" s="198" t="s">
        <v>1632</v>
      </c>
      <c r="F110" s="198" t="s">
        <v>1903</v>
      </c>
      <c r="G110" s="198" t="s">
        <v>1904</v>
      </c>
      <c r="H110" s="198" t="s">
        <v>1905</v>
      </c>
    </row>
    <row r="111" spans="1:32" s="194" customFormat="1">
      <c r="A111" s="699" t="s">
        <v>2114</v>
      </c>
      <c r="B111" s="683" t="s">
        <v>2115</v>
      </c>
      <c r="C111" s="198" t="s">
        <v>2116</v>
      </c>
      <c r="D111" s="198" t="s">
        <v>2093</v>
      </c>
      <c r="E111" s="227">
        <v>2.9299999999999999E-3</v>
      </c>
      <c r="F111" s="225">
        <v>2.8999999999999998E-3</v>
      </c>
      <c r="G111" s="281">
        <v>1.1200000000000001E-6</v>
      </c>
      <c r="H111" s="225">
        <v>3.0000000000000001E-5</v>
      </c>
      <c r="AF111" s="215"/>
    </row>
    <row r="112" spans="1:32" s="194" customFormat="1">
      <c r="A112" s="699"/>
      <c r="B112" s="683"/>
      <c r="C112" s="198" t="s">
        <v>2117</v>
      </c>
      <c r="D112" s="198" t="s">
        <v>2093</v>
      </c>
      <c r="E112" s="227">
        <v>4.45E-3</v>
      </c>
      <c r="F112" s="225">
        <v>4.4000000000000003E-3</v>
      </c>
      <c r="G112" s="281">
        <v>1.1200000000000001E-6</v>
      </c>
      <c r="H112" s="225">
        <v>5.0000000000000002E-5</v>
      </c>
      <c r="AF112" s="215"/>
    </row>
    <row r="113" spans="1:32" s="194" customFormat="1">
      <c r="A113" s="699"/>
      <c r="B113" s="683"/>
      <c r="C113" s="198" t="s">
        <v>2118</v>
      </c>
      <c r="D113" s="198" t="s">
        <v>2093</v>
      </c>
      <c r="E113" s="227">
        <v>5.9699999999999996E-3</v>
      </c>
      <c r="F113" s="225">
        <v>5.8999999999999999E-3</v>
      </c>
      <c r="G113" s="281">
        <v>2.2400000000000002E-6</v>
      </c>
      <c r="H113" s="225">
        <v>6.9999999999999994E-5</v>
      </c>
      <c r="AF113" s="215"/>
    </row>
    <row r="114" spans="1:32" s="194" customFormat="1">
      <c r="A114" s="699"/>
      <c r="B114" s="683"/>
      <c r="C114" s="198" t="s">
        <v>2119</v>
      </c>
      <c r="D114" s="198" t="s">
        <v>2093</v>
      </c>
      <c r="E114" s="227">
        <v>7.5900000000000004E-3</v>
      </c>
      <c r="F114" s="225">
        <v>7.4999999999999997E-3</v>
      </c>
      <c r="G114" s="281">
        <v>2.2400000000000002E-6</v>
      </c>
      <c r="H114" s="225">
        <v>9.0000000000000006E-5</v>
      </c>
      <c r="AF114" s="215"/>
    </row>
    <row r="115" spans="1:32" s="194" customFormat="1">
      <c r="A115" s="699"/>
      <c r="B115" s="683"/>
      <c r="C115" s="198" t="s">
        <v>2120</v>
      </c>
      <c r="D115" s="198" t="s">
        <v>2093</v>
      </c>
      <c r="E115" s="227">
        <v>9.2099999999999994E-3</v>
      </c>
      <c r="F115" s="225">
        <v>9.1000000000000004E-3</v>
      </c>
      <c r="G115" s="281">
        <v>3.3600000000000004E-6</v>
      </c>
      <c r="H115" s="225">
        <v>1.1E-4</v>
      </c>
      <c r="AF115" s="215"/>
    </row>
    <row r="116" spans="1:32" s="194" customFormat="1">
      <c r="A116" s="699"/>
      <c r="B116" s="683"/>
      <c r="C116" s="198" t="s">
        <v>2121</v>
      </c>
      <c r="D116" s="198" t="s">
        <v>2093</v>
      </c>
      <c r="E116" s="227">
        <v>3.3709999999999997E-2</v>
      </c>
      <c r="F116" s="225">
        <v>3.3300000000000003E-2</v>
      </c>
      <c r="G116" s="225">
        <v>1.0000000000000001E-5</v>
      </c>
      <c r="H116" s="225">
        <v>4.0000000000000002E-4</v>
      </c>
      <c r="AF116" s="215"/>
    </row>
    <row r="117" spans="1:32" s="194" customFormat="1">
      <c r="A117" s="699"/>
      <c r="B117" s="683"/>
      <c r="C117" s="198" t="s">
        <v>1972</v>
      </c>
      <c r="D117" s="198" t="s">
        <v>2093</v>
      </c>
      <c r="E117" s="227">
        <v>4.5599999999999998E-3</v>
      </c>
      <c r="F117" s="225">
        <v>4.5100000000000001E-3</v>
      </c>
      <c r="G117" s="281">
        <v>1.1200000000000001E-6</v>
      </c>
      <c r="H117" s="225">
        <v>5.0000000000000002E-5</v>
      </c>
      <c r="AF117" s="215"/>
    </row>
    <row r="118" spans="1:32" s="194" customFormat="1">
      <c r="A118" s="699"/>
      <c r="B118" s="683" t="s">
        <v>2122</v>
      </c>
      <c r="C118" s="198" t="s">
        <v>2123</v>
      </c>
      <c r="D118" s="198" t="s">
        <v>2093</v>
      </c>
      <c r="E118" s="227">
        <v>5.77E-3</v>
      </c>
      <c r="F118" s="225">
        <v>5.7000000000000002E-3</v>
      </c>
      <c r="G118" s="281">
        <v>2.2400000000000002E-6</v>
      </c>
      <c r="H118" s="225">
        <v>6.9999999999999994E-5</v>
      </c>
      <c r="AF118" s="215"/>
    </row>
    <row r="119" spans="1:32" s="194" customFormat="1">
      <c r="A119" s="699"/>
      <c r="B119" s="683"/>
      <c r="C119" s="198" t="s">
        <v>2124</v>
      </c>
      <c r="D119" s="198" t="s">
        <v>2093</v>
      </c>
      <c r="E119" s="227">
        <v>1.042E-2</v>
      </c>
      <c r="F119" s="225">
        <v>1.03E-2</v>
      </c>
      <c r="G119" s="281">
        <v>3.3600000000000004E-6</v>
      </c>
      <c r="H119" s="225">
        <v>1.2E-4</v>
      </c>
      <c r="AF119" s="215"/>
    </row>
    <row r="120" spans="1:32" s="194" customFormat="1">
      <c r="A120" s="699"/>
      <c r="B120" s="683"/>
      <c r="C120" s="198" t="s">
        <v>2125</v>
      </c>
      <c r="D120" s="198" t="s">
        <v>2093</v>
      </c>
      <c r="E120" s="227">
        <v>1.8939999999999999E-2</v>
      </c>
      <c r="F120" s="225">
        <v>1.8700000000000001E-2</v>
      </c>
      <c r="G120" s="225">
        <v>1.0000000000000001E-5</v>
      </c>
      <c r="H120" s="225">
        <v>2.3000000000000001E-4</v>
      </c>
      <c r="AF120" s="215"/>
    </row>
    <row r="121" spans="1:32" s="194" customFormat="1">
      <c r="A121" s="699"/>
      <c r="B121" s="683"/>
      <c r="C121" s="198" t="s">
        <v>2126</v>
      </c>
      <c r="D121" s="198" t="s">
        <v>2093</v>
      </c>
      <c r="E121" s="227">
        <v>2.9559999999999999E-2</v>
      </c>
      <c r="F121" s="225">
        <v>2.92E-2</v>
      </c>
      <c r="G121" s="225">
        <v>1.0000000000000001E-5</v>
      </c>
      <c r="H121" s="225">
        <v>3.5E-4</v>
      </c>
      <c r="AF121" s="215"/>
    </row>
    <row r="122" spans="1:32" s="194" customFormat="1">
      <c r="A122" s="699"/>
      <c r="B122" s="683"/>
      <c r="C122" s="198" t="s">
        <v>2127</v>
      </c>
      <c r="D122" s="198" t="s">
        <v>2093</v>
      </c>
      <c r="E122" s="227">
        <v>4.5560000000000003E-2</v>
      </c>
      <c r="F122" s="225">
        <v>4.4999999999999998E-2</v>
      </c>
      <c r="G122" s="225">
        <v>1.0000000000000001E-5</v>
      </c>
      <c r="H122" s="225">
        <v>5.5000000000000003E-4</v>
      </c>
      <c r="AF122" s="215"/>
    </row>
    <row r="123" spans="1:32" s="194" customFormat="1" ht="15.75" customHeight="1">
      <c r="A123" s="699"/>
      <c r="B123" s="683"/>
      <c r="C123" s="198" t="s">
        <v>1972</v>
      </c>
      <c r="D123" s="198" t="s">
        <v>2093</v>
      </c>
      <c r="E123" s="227">
        <v>9.0200000000000002E-3</v>
      </c>
      <c r="F123" s="225">
        <v>8.9099999999999995E-3</v>
      </c>
      <c r="G123" s="281">
        <v>3.3600000000000004E-6</v>
      </c>
      <c r="H123" s="225">
        <v>1.1E-4</v>
      </c>
      <c r="AF123" s="215"/>
    </row>
    <row r="124" spans="1:32" s="194" customFormat="1">
      <c r="A124" s="699"/>
      <c r="B124" s="683" t="s">
        <v>2128</v>
      </c>
      <c r="C124" s="198" t="s">
        <v>2129</v>
      </c>
      <c r="D124" s="198" t="s">
        <v>2093</v>
      </c>
      <c r="E124" s="227">
        <v>8.5000000000000006E-3</v>
      </c>
      <c r="F124" s="225">
        <v>8.3999999999999995E-3</v>
      </c>
      <c r="G124" s="281">
        <v>3.3600000000000004E-6</v>
      </c>
      <c r="H124" s="225">
        <v>1E-4</v>
      </c>
      <c r="AF124" s="215"/>
    </row>
    <row r="125" spans="1:32" s="194" customFormat="1">
      <c r="A125" s="699"/>
      <c r="B125" s="683"/>
      <c r="C125" s="198" t="s">
        <v>2125</v>
      </c>
      <c r="D125" s="198" t="s">
        <v>2093</v>
      </c>
      <c r="E125" s="227">
        <v>1.093E-2</v>
      </c>
      <c r="F125" s="225">
        <v>1.0800000000000001E-2</v>
      </c>
      <c r="G125" s="281">
        <v>3.3600000000000004E-6</v>
      </c>
      <c r="H125" s="225">
        <v>1.2999999999999999E-4</v>
      </c>
      <c r="AF125" s="215"/>
    </row>
    <row r="126" spans="1:32" s="194" customFormat="1">
      <c r="A126" s="699"/>
      <c r="B126" s="683"/>
      <c r="C126" s="198" t="s">
        <v>2126</v>
      </c>
      <c r="D126" s="198" t="s">
        <v>2093</v>
      </c>
      <c r="E126" s="227">
        <v>1.529E-2</v>
      </c>
      <c r="F126" s="225">
        <v>1.5100000000000001E-2</v>
      </c>
      <c r="G126" s="225">
        <v>1.0000000000000001E-5</v>
      </c>
      <c r="H126" s="225">
        <v>1.8000000000000001E-4</v>
      </c>
      <c r="AF126" s="215"/>
    </row>
    <row r="127" spans="1:32" s="194" customFormat="1">
      <c r="A127" s="699"/>
      <c r="B127" s="683"/>
      <c r="C127" s="198" t="s">
        <v>2127</v>
      </c>
      <c r="D127" s="198" t="s">
        <v>2093</v>
      </c>
      <c r="E127" s="227">
        <v>2.248E-2</v>
      </c>
      <c r="F127" s="225">
        <v>2.2200000000000001E-2</v>
      </c>
      <c r="G127" s="225">
        <v>1.0000000000000001E-5</v>
      </c>
      <c r="H127" s="225">
        <v>2.7E-4</v>
      </c>
      <c r="AF127" s="215"/>
    </row>
    <row r="128" spans="1:32" s="194" customFormat="1">
      <c r="A128" s="699"/>
      <c r="B128" s="759"/>
      <c r="C128" s="198" t="s">
        <v>1972</v>
      </c>
      <c r="D128" s="198" t="s">
        <v>2093</v>
      </c>
      <c r="E128" s="227">
        <v>1.03E-2</v>
      </c>
      <c r="F128" s="225">
        <v>1.018E-2</v>
      </c>
      <c r="G128" s="281">
        <v>3.3600000000000004E-6</v>
      </c>
      <c r="H128" s="225">
        <v>1.2E-4</v>
      </c>
      <c r="AF128" s="215"/>
    </row>
    <row r="129" spans="1:32" s="194" customFormat="1">
      <c r="A129" s="699"/>
      <c r="B129" s="696" t="s">
        <v>2130</v>
      </c>
      <c r="C129" s="198" t="s">
        <v>2131</v>
      </c>
      <c r="D129" s="198" t="s">
        <v>2093</v>
      </c>
      <c r="E129" s="227">
        <v>9.41E-3</v>
      </c>
      <c r="F129" s="225">
        <v>9.2999999999999992E-3</v>
      </c>
      <c r="G129" s="281">
        <v>3.3600000000000004E-6</v>
      </c>
      <c r="H129" s="225">
        <v>1.1E-4</v>
      </c>
      <c r="AF129" s="215"/>
    </row>
    <row r="130" spans="1:32" s="194" customFormat="1">
      <c r="A130" s="699"/>
      <c r="B130" s="683"/>
      <c r="C130" s="198" t="s">
        <v>2132</v>
      </c>
      <c r="D130" s="198" t="s">
        <v>2093</v>
      </c>
      <c r="E130" s="227">
        <v>1.468E-2</v>
      </c>
      <c r="F130" s="225">
        <v>1.4500000000000001E-2</v>
      </c>
      <c r="G130" s="281">
        <v>4.4800000000000003E-6</v>
      </c>
      <c r="H130" s="225">
        <v>1.8000000000000001E-4</v>
      </c>
      <c r="AF130" s="215"/>
    </row>
    <row r="131" spans="1:32" s="194" customFormat="1">
      <c r="A131" s="699"/>
      <c r="B131" s="683"/>
      <c r="C131" s="198" t="s">
        <v>1972</v>
      </c>
      <c r="D131" s="198" t="s">
        <v>2093</v>
      </c>
      <c r="E131" s="227">
        <v>1.153E-2</v>
      </c>
      <c r="F131" s="225">
        <v>1.1390000000000001E-2</v>
      </c>
      <c r="G131" s="281">
        <v>3.3600000000000004E-6</v>
      </c>
      <c r="H131" s="225">
        <v>1.3999999999999999E-4</v>
      </c>
      <c r="AF131" s="215"/>
    </row>
    <row r="132" spans="1:32" s="194" customFormat="1">
      <c r="A132" s="699"/>
      <c r="B132" s="683" t="s">
        <v>2133</v>
      </c>
      <c r="C132" s="198" t="s">
        <v>2134</v>
      </c>
      <c r="D132" s="198" t="s">
        <v>2093</v>
      </c>
      <c r="E132" s="227">
        <v>9.11E-3</v>
      </c>
      <c r="F132" s="225">
        <v>8.9999999999999993E-3</v>
      </c>
      <c r="G132" s="281">
        <v>3.3600000000000004E-6</v>
      </c>
      <c r="H132" s="225">
        <v>1.1E-4</v>
      </c>
      <c r="AF132" s="215"/>
    </row>
    <row r="133" spans="1:32" s="194" customFormat="1">
      <c r="A133" s="699"/>
      <c r="B133" s="683"/>
      <c r="C133" s="198" t="s">
        <v>2135</v>
      </c>
      <c r="D133" s="198" t="s">
        <v>2093</v>
      </c>
      <c r="E133" s="227">
        <v>4.4040000000000003E-2</v>
      </c>
      <c r="F133" s="225">
        <v>4.3499999999999997E-2</v>
      </c>
      <c r="G133" s="225">
        <v>1.0000000000000001E-5</v>
      </c>
      <c r="H133" s="225">
        <v>5.2999999999999998E-4</v>
      </c>
      <c r="AF133" s="215"/>
    </row>
    <row r="134" spans="1:32" s="194" customFormat="1">
      <c r="A134" s="699"/>
      <c r="B134" s="683"/>
      <c r="C134" s="198" t="s">
        <v>1972</v>
      </c>
      <c r="D134" s="198" t="s">
        <v>2093</v>
      </c>
      <c r="E134" s="227">
        <v>1.0359999999999999E-2</v>
      </c>
      <c r="F134" s="225">
        <v>1.0240000000000001E-2</v>
      </c>
      <c r="G134" s="281">
        <v>3.3600000000000004E-6</v>
      </c>
      <c r="H134" s="225">
        <v>1.2E-4</v>
      </c>
      <c r="AF134" s="215"/>
    </row>
    <row r="135" spans="1:32" s="194" customFormat="1">
      <c r="A135" s="235"/>
      <c r="B135" s="216"/>
    </row>
    <row r="136" spans="1:32" s="194" customFormat="1">
      <c r="A136" s="235"/>
      <c r="B136" s="216"/>
    </row>
    <row r="137" spans="1:32" s="194" customFormat="1">
      <c r="A137" s="235"/>
      <c r="B137" s="216"/>
      <c r="G137" s="251" t="s">
        <v>1945</v>
      </c>
    </row>
    <row r="138" spans="1:32" s="194" customFormat="1" ht="15.6">
      <c r="A138" s="232" t="s">
        <v>1629</v>
      </c>
      <c r="B138" s="212" t="s">
        <v>1771</v>
      </c>
      <c r="C138" s="196" t="s">
        <v>2113</v>
      </c>
      <c r="D138" s="196" t="s">
        <v>1631</v>
      </c>
      <c r="E138" s="198" t="s">
        <v>1632</v>
      </c>
      <c r="F138" s="198" t="s">
        <v>1903</v>
      </c>
      <c r="G138" s="198" t="s">
        <v>1904</v>
      </c>
      <c r="H138" s="198" t="s">
        <v>1905</v>
      </c>
    </row>
    <row r="139" spans="1:32" s="194" customFormat="1">
      <c r="A139" s="699" t="s">
        <v>2136</v>
      </c>
      <c r="B139" s="683" t="s">
        <v>2137</v>
      </c>
      <c r="C139" s="198" t="s">
        <v>2116</v>
      </c>
      <c r="D139" s="198" t="s">
        <v>2093</v>
      </c>
      <c r="E139" s="227">
        <v>2.5300000000000001E-3</v>
      </c>
      <c r="F139" s="225">
        <v>2.5000000000000001E-3</v>
      </c>
      <c r="G139" s="281">
        <v>1.1200000000000001E-6</v>
      </c>
      <c r="H139" s="225">
        <v>3.0000000000000001E-5</v>
      </c>
      <c r="AF139" s="215"/>
    </row>
    <row r="140" spans="1:32" s="194" customFormat="1">
      <c r="A140" s="699"/>
      <c r="B140" s="683"/>
      <c r="C140" s="198" t="s">
        <v>2138</v>
      </c>
      <c r="D140" s="198" t="s">
        <v>2093</v>
      </c>
      <c r="E140" s="227">
        <v>3.0400000000000002E-3</v>
      </c>
      <c r="F140" s="225">
        <v>3.0000000000000001E-3</v>
      </c>
      <c r="G140" s="281">
        <v>1.1200000000000001E-6</v>
      </c>
      <c r="H140" s="225">
        <v>4.0000000000000003E-5</v>
      </c>
      <c r="AF140" s="215"/>
    </row>
    <row r="141" spans="1:32" s="194" customFormat="1">
      <c r="A141" s="699"/>
      <c r="B141" s="683"/>
      <c r="C141" s="198" t="s">
        <v>2139</v>
      </c>
      <c r="D141" s="198" t="s">
        <v>2093</v>
      </c>
      <c r="E141" s="227">
        <v>4.15E-3</v>
      </c>
      <c r="F141" s="225">
        <v>4.1000000000000003E-3</v>
      </c>
      <c r="G141" s="281">
        <v>1.1200000000000001E-6</v>
      </c>
      <c r="H141" s="225">
        <v>5.0000000000000002E-5</v>
      </c>
      <c r="AF141" s="215"/>
    </row>
    <row r="142" spans="1:32" s="194" customFormat="1">
      <c r="A142" s="699"/>
      <c r="B142" s="683"/>
      <c r="C142" s="198" t="s">
        <v>2140</v>
      </c>
      <c r="D142" s="198" t="s">
        <v>2093</v>
      </c>
      <c r="E142" s="227">
        <v>5.77E-3</v>
      </c>
      <c r="F142" s="225">
        <v>5.7000000000000002E-3</v>
      </c>
      <c r="G142" s="281">
        <v>2.2400000000000002E-6</v>
      </c>
      <c r="H142" s="225">
        <v>6.9999999999999994E-5</v>
      </c>
      <c r="AF142" s="215"/>
    </row>
    <row r="143" spans="1:32" s="194" customFormat="1">
      <c r="A143" s="699"/>
      <c r="B143" s="683"/>
      <c r="C143" s="198" t="s">
        <v>2141</v>
      </c>
      <c r="D143" s="198" t="s">
        <v>2093</v>
      </c>
      <c r="E143" s="227">
        <v>8.0000000000000002E-3</v>
      </c>
      <c r="F143" s="225">
        <v>7.9000000000000008E-3</v>
      </c>
      <c r="G143" s="281">
        <v>2.2400000000000002E-6</v>
      </c>
      <c r="H143" s="225">
        <v>1E-4</v>
      </c>
      <c r="AF143" s="215"/>
    </row>
    <row r="144" spans="1:32" s="194" customFormat="1">
      <c r="A144" s="699"/>
      <c r="B144" s="683"/>
      <c r="C144" s="198" t="s">
        <v>2121</v>
      </c>
      <c r="D144" s="198" t="s">
        <v>2093</v>
      </c>
      <c r="E144" s="227">
        <v>2.9559999999999999E-2</v>
      </c>
      <c r="F144" s="225">
        <v>2.92E-2</v>
      </c>
      <c r="G144" s="225">
        <v>1.0000000000000001E-5</v>
      </c>
      <c r="H144" s="225">
        <v>3.5E-4</v>
      </c>
      <c r="AF144" s="215"/>
    </row>
    <row r="145" spans="1:32" s="194" customFormat="1">
      <c r="A145" s="699"/>
      <c r="B145" s="683"/>
      <c r="C145" s="198" t="s">
        <v>1972</v>
      </c>
      <c r="D145" s="198" t="s">
        <v>2093</v>
      </c>
      <c r="E145" s="227">
        <v>3.5300000000000002E-3</v>
      </c>
      <c r="F145" s="225">
        <v>3.49E-3</v>
      </c>
      <c r="G145" s="281">
        <v>1.1200000000000001E-6</v>
      </c>
      <c r="H145" s="225">
        <v>4.0000000000000003E-5</v>
      </c>
      <c r="AF145" s="215"/>
    </row>
    <row r="146" spans="1:32" s="194" customFormat="1">
      <c r="A146" s="699"/>
      <c r="B146" s="683" t="s">
        <v>2142</v>
      </c>
      <c r="C146" s="198" t="s">
        <v>2143</v>
      </c>
      <c r="D146" s="198" t="s">
        <v>2093</v>
      </c>
      <c r="E146" s="227">
        <v>1.204E-2</v>
      </c>
      <c r="F146" s="225">
        <v>1.1900000000000001E-2</v>
      </c>
      <c r="G146" s="281">
        <v>4.4800000000000003E-6</v>
      </c>
      <c r="H146" s="225">
        <v>1.3999999999999999E-4</v>
      </c>
      <c r="AF146" s="215"/>
    </row>
    <row r="147" spans="1:32" s="194" customFormat="1">
      <c r="A147" s="699"/>
      <c r="B147" s="683"/>
      <c r="C147" s="198" t="s">
        <v>2126</v>
      </c>
      <c r="D147" s="198" t="s">
        <v>2093</v>
      </c>
      <c r="E147" s="227">
        <v>1.6E-2</v>
      </c>
      <c r="F147" s="225">
        <v>1.5800000000000002E-2</v>
      </c>
      <c r="G147" s="225">
        <v>1.0000000000000001E-5</v>
      </c>
      <c r="H147" s="225">
        <v>1.9000000000000001E-4</v>
      </c>
      <c r="AF147" s="215"/>
    </row>
    <row r="148" spans="1:32" s="194" customFormat="1">
      <c r="A148" s="699"/>
      <c r="B148" s="683"/>
      <c r="C148" s="198" t="s">
        <v>2127</v>
      </c>
      <c r="D148" s="198" t="s">
        <v>2093</v>
      </c>
      <c r="E148" s="227">
        <v>1.4069999999999999E-2</v>
      </c>
      <c r="F148" s="225">
        <v>1.3899999999999999E-2</v>
      </c>
      <c r="G148" s="281">
        <v>4.4800000000000003E-6</v>
      </c>
      <c r="H148" s="225">
        <v>1.7000000000000001E-4</v>
      </c>
      <c r="AF148" s="215"/>
    </row>
    <row r="149" spans="1:32" s="194" customFormat="1">
      <c r="A149" s="699"/>
      <c r="B149" s="683"/>
      <c r="C149" s="198" t="s">
        <v>2144</v>
      </c>
      <c r="D149" s="198" t="s">
        <v>2093</v>
      </c>
      <c r="E149" s="227">
        <v>1.1129999999999999E-2</v>
      </c>
      <c r="F149" s="225">
        <v>1.0999999999999999E-2</v>
      </c>
      <c r="G149" s="281">
        <v>3.3600000000000004E-6</v>
      </c>
      <c r="H149" s="225">
        <v>1.2999999999999999E-4</v>
      </c>
      <c r="AF149" s="215"/>
    </row>
    <row r="150" spans="1:32" s="194" customFormat="1">
      <c r="A150" s="699"/>
      <c r="B150" s="683"/>
      <c r="C150" s="198" t="s">
        <v>2145</v>
      </c>
      <c r="D150" s="198" t="s">
        <v>2093</v>
      </c>
      <c r="E150" s="227">
        <v>1.772E-2</v>
      </c>
      <c r="F150" s="225">
        <v>1.7500000000000002E-2</v>
      </c>
      <c r="G150" s="225">
        <v>1.0000000000000001E-5</v>
      </c>
      <c r="H150" s="225">
        <v>2.1000000000000001E-4</v>
      </c>
      <c r="AF150" s="215"/>
    </row>
    <row r="151" spans="1:32" s="194" customFormat="1">
      <c r="A151" s="699"/>
      <c r="B151" s="683"/>
      <c r="C151" s="198" t="s">
        <v>2146</v>
      </c>
      <c r="D151" s="198" t="s">
        <v>2093</v>
      </c>
      <c r="E151" s="227">
        <v>2.0049999999999998E-2</v>
      </c>
      <c r="F151" s="225">
        <v>1.9800000000000002E-2</v>
      </c>
      <c r="G151" s="225">
        <v>1.0000000000000001E-5</v>
      </c>
      <c r="H151" s="225">
        <v>2.4000000000000001E-4</v>
      </c>
      <c r="AF151" s="215"/>
    </row>
    <row r="152" spans="1:32" s="194" customFormat="1">
      <c r="A152" s="699"/>
      <c r="B152" s="683"/>
      <c r="C152" s="198" t="s">
        <v>1972</v>
      </c>
      <c r="D152" s="198" t="s">
        <v>2093</v>
      </c>
      <c r="E152" s="227">
        <v>1.321E-2</v>
      </c>
      <c r="F152" s="225">
        <v>1.3050000000000001E-2</v>
      </c>
      <c r="G152" s="281">
        <v>4.4800000000000003E-6</v>
      </c>
      <c r="H152" s="225">
        <v>1.6000000000000001E-4</v>
      </c>
      <c r="AF152" s="215"/>
    </row>
    <row r="153" spans="1:32" s="194" customFormat="1">
      <c r="A153" s="699"/>
      <c r="B153" s="683" t="s">
        <v>2147</v>
      </c>
      <c r="C153" s="198" t="s">
        <v>2148</v>
      </c>
      <c r="D153" s="198" t="s">
        <v>2093</v>
      </c>
      <c r="E153" s="227">
        <v>1.265E-2</v>
      </c>
      <c r="F153" s="225">
        <v>1.2500000000000001E-2</v>
      </c>
      <c r="G153" s="281">
        <v>4.4800000000000003E-6</v>
      </c>
      <c r="H153" s="225">
        <v>1.4999999999999999E-4</v>
      </c>
      <c r="AF153" s="215"/>
    </row>
    <row r="154" spans="1:32" s="194" customFormat="1">
      <c r="A154" s="699"/>
      <c r="B154" s="683"/>
      <c r="C154" s="198" t="s">
        <v>2149</v>
      </c>
      <c r="D154" s="198" t="s">
        <v>2093</v>
      </c>
      <c r="E154" s="227">
        <v>1.6809999999999999E-2</v>
      </c>
      <c r="F154" s="225">
        <v>1.66E-2</v>
      </c>
      <c r="G154" s="225">
        <v>1.0000000000000001E-5</v>
      </c>
      <c r="H154" s="225">
        <v>2.0000000000000001E-4</v>
      </c>
      <c r="AF154" s="215"/>
    </row>
    <row r="155" spans="1:32" s="194" customFormat="1">
      <c r="A155" s="699"/>
      <c r="B155" s="683"/>
      <c r="C155" s="198" t="s">
        <v>2150</v>
      </c>
      <c r="D155" s="198" t="s">
        <v>2093</v>
      </c>
      <c r="E155" s="227">
        <v>1.6809999999999999E-2</v>
      </c>
      <c r="F155" s="225">
        <v>1.66E-2</v>
      </c>
      <c r="G155" s="225">
        <v>1.0000000000000001E-5</v>
      </c>
      <c r="H155" s="225">
        <v>2.0000000000000001E-4</v>
      </c>
      <c r="AF155" s="215"/>
    </row>
    <row r="156" spans="1:32" s="194" customFormat="1">
      <c r="A156" s="699"/>
      <c r="B156" s="683"/>
      <c r="C156" s="198" t="s">
        <v>2151</v>
      </c>
      <c r="D156" s="198" t="s">
        <v>2093</v>
      </c>
      <c r="E156" s="227">
        <v>2.0250000000000001E-2</v>
      </c>
      <c r="F156" s="225">
        <v>0.02</v>
      </c>
      <c r="G156" s="225">
        <v>1.0000000000000001E-5</v>
      </c>
      <c r="H156" s="225">
        <v>2.4000000000000001E-4</v>
      </c>
      <c r="AF156" s="215"/>
    </row>
    <row r="157" spans="1:32" s="194" customFormat="1">
      <c r="A157" s="699"/>
      <c r="B157" s="683"/>
      <c r="C157" s="198" t="s">
        <v>2152</v>
      </c>
      <c r="D157" s="198" t="s">
        <v>2093</v>
      </c>
      <c r="E157" s="227">
        <v>3.2500000000000001E-2</v>
      </c>
      <c r="F157" s="225">
        <v>3.2099999999999997E-2</v>
      </c>
      <c r="G157" s="225">
        <v>1.0000000000000001E-5</v>
      </c>
      <c r="H157" s="225">
        <v>3.8999999999999999E-4</v>
      </c>
      <c r="AF157" s="215"/>
    </row>
    <row r="158" spans="1:32" s="194" customFormat="1">
      <c r="A158" s="699"/>
      <c r="B158" s="683"/>
      <c r="C158" s="198" t="s">
        <v>2153</v>
      </c>
      <c r="D158" s="198" t="s">
        <v>2093</v>
      </c>
      <c r="E158" s="227">
        <v>3.6749999999999998E-2</v>
      </c>
      <c r="F158" s="225">
        <v>3.6299999999999999E-2</v>
      </c>
      <c r="G158" s="225">
        <v>1.0000000000000001E-5</v>
      </c>
      <c r="H158" s="225">
        <v>4.4000000000000002E-4</v>
      </c>
      <c r="AF158" s="215"/>
    </row>
    <row r="159" spans="1:32" s="194" customFormat="1">
      <c r="A159" s="699"/>
      <c r="B159" s="683"/>
      <c r="C159" s="198" t="s">
        <v>1972</v>
      </c>
      <c r="D159" s="198" t="s">
        <v>2093</v>
      </c>
      <c r="E159" s="227">
        <v>1.6119999999999999E-2</v>
      </c>
      <c r="F159" s="225">
        <v>1.592E-2</v>
      </c>
      <c r="G159" s="225">
        <v>1.0000000000000001E-5</v>
      </c>
      <c r="H159" s="225">
        <v>1.9000000000000001E-4</v>
      </c>
      <c r="AF159" s="215"/>
    </row>
    <row r="160" spans="1:32" s="194" customFormat="1">
      <c r="A160" s="699"/>
      <c r="B160" s="683" t="s">
        <v>2154</v>
      </c>
      <c r="C160" s="198" t="s">
        <v>2155</v>
      </c>
      <c r="D160" s="198" t="s">
        <v>2093</v>
      </c>
      <c r="E160" s="227">
        <v>3.2399999999999998E-2</v>
      </c>
      <c r="F160" s="225">
        <v>3.2000000000000001E-2</v>
      </c>
      <c r="G160" s="225">
        <v>1.0000000000000001E-5</v>
      </c>
      <c r="H160" s="225">
        <v>3.8999999999999999E-4</v>
      </c>
      <c r="AF160" s="215"/>
    </row>
    <row r="161" spans="1:32" s="194" customFormat="1">
      <c r="A161" s="699"/>
      <c r="B161" s="683"/>
      <c r="C161" s="198" t="s">
        <v>2156</v>
      </c>
      <c r="D161" s="198" t="s">
        <v>2093</v>
      </c>
      <c r="E161" s="227">
        <v>5.8319999999999997E-2</v>
      </c>
      <c r="F161" s="225">
        <v>5.7599999999999998E-2</v>
      </c>
      <c r="G161" s="225">
        <v>2.0000000000000002E-5</v>
      </c>
      <c r="H161" s="225">
        <v>6.9999999999999999E-4</v>
      </c>
      <c r="AF161" s="215"/>
    </row>
    <row r="162" spans="1:32" s="194" customFormat="1">
      <c r="A162" s="699"/>
      <c r="B162" s="683"/>
      <c r="C162" s="198" t="s">
        <v>1972</v>
      </c>
      <c r="D162" s="198" t="s">
        <v>2093</v>
      </c>
      <c r="E162" s="227">
        <v>3.8519999999999999E-2</v>
      </c>
      <c r="F162" s="225">
        <v>3.805E-2</v>
      </c>
      <c r="G162" s="225">
        <v>1.0000000000000001E-5</v>
      </c>
      <c r="H162" s="225">
        <v>4.6000000000000001E-4</v>
      </c>
      <c r="AF162" s="215"/>
    </row>
    <row r="163" spans="1:32" s="194" customFormat="1">
      <c r="A163" s="699"/>
      <c r="B163" s="683" t="s">
        <v>2157</v>
      </c>
      <c r="C163" s="198" t="s">
        <v>2158</v>
      </c>
      <c r="D163" s="198" t="s">
        <v>2093</v>
      </c>
      <c r="E163" s="227">
        <v>5.0119999999999998E-2</v>
      </c>
      <c r="F163" s="225">
        <v>4.9500000000000002E-2</v>
      </c>
      <c r="G163" s="225">
        <v>2.0000000000000002E-5</v>
      </c>
      <c r="H163" s="225">
        <v>5.9999999999999995E-4</v>
      </c>
      <c r="AF163" s="215"/>
    </row>
    <row r="164" spans="1:32" s="194" customFormat="1">
      <c r="A164" s="699"/>
      <c r="B164" s="683"/>
      <c r="C164" s="198" t="s">
        <v>2159</v>
      </c>
      <c r="D164" s="198" t="s">
        <v>2093</v>
      </c>
      <c r="E164" s="227">
        <v>6.105E-2</v>
      </c>
      <c r="F164" s="225">
        <v>6.0299999999999999E-2</v>
      </c>
      <c r="G164" s="225">
        <v>2.0000000000000002E-5</v>
      </c>
      <c r="H164" s="225">
        <v>7.2999999999999996E-4</v>
      </c>
      <c r="AF164" s="215"/>
    </row>
    <row r="165" spans="1:32" s="194" customFormat="1">
      <c r="A165" s="699"/>
      <c r="B165" s="683"/>
      <c r="C165" s="198" t="s">
        <v>1972</v>
      </c>
      <c r="D165" s="198" t="s">
        <v>2093</v>
      </c>
      <c r="E165" s="227">
        <v>5.1589999999999997E-2</v>
      </c>
      <c r="F165" s="225">
        <v>5.0950000000000002E-2</v>
      </c>
      <c r="G165" s="225">
        <v>2.0000000000000002E-5</v>
      </c>
      <c r="H165" s="225">
        <v>6.2E-4</v>
      </c>
      <c r="AF165" s="215"/>
    </row>
    <row r="166" spans="1:32" s="194" customFormat="1">
      <c r="A166" s="699"/>
      <c r="B166" s="266" t="s">
        <v>2160</v>
      </c>
      <c r="C166" s="198" t="s">
        <v>1972</v>
      </c>
      <c r="D166" s="198" t="s">
        <v>2093</v>
      </c>
      <c r="E166" s="227">
        <v>0.37612000000000001</v>
      </c>
      <c r="F166" s="225">
        <v>0.3715</v>
      </c>
      <c r="G166" s="225">
        <v>1.2E-4</v>
      </c>
      <c r="H166" s="225">
        <v>4.4999999999999997E-3</v>
      </c>
      <c r="AF166" s="215"/>
    </row>
    <row r="167" spans="1:32" s="194" customFormat="1">
      <c r="A167" s="699"/>
      <c r="B167" s="266" t="s">
        <v>2161</v>
      </c>
      <c r="C167" s="198" t="s">
        <v>2162</v>
      </c>
      <c r="D167" s="198" t="s">
        <v>2093</v>
      </c>
      <c r="E167" s="227">
        <v>1.306E-2</v>
      </c>
      <c r="F167" s="225">
        <v>1.29E-2</v>
      </c>
      <c r="G167" s="281">
        <v>4.4800000000000003E-6</v>
      </c>
      <c r="H167" s="225">
        <v>1.6000000000000001E-4</v>
      </c>
      <c r="AF167" s="215"/>
    </row>
    <row r="168" spans="1:32" s="194" customFormat="1" ht="10.5" customHeight="1">
      <c r="A168" s="238"/>
      <c r="B168" s="303"/>
      <c r="C168" s="192"/>
      <c r="D168" s="192"/>
      <c r="E168" s="192"/>
      <c r="F168" s="192"/>
      <c r="G168" s="192"/>
      <c r="H168" s="192"/>
      <c r="I168" s="192"/>
      <c r="J168" s="192"/>
      <c r="K168" s="192"/>
      <c r="L168" s="192"/>
    </row>
    <row r="169" spans="1:32" s="194" customFormat="1">
      <c r="A169" s="238"/>
      <c r="B169" s="303"/>
      <c r="C169" s="192"/>
      <c r="D169" s="192"/>
      <c r="E169" s="192"/>
      <c r="F169" s="192"/>
      <c r="G169" s="192"/>
      <c r="H169" s="192"/>
      <c r="I169" s="192"/>
      <c r="J169" s="192"/>
      <c r="K169" s="192"/>
      <c r="L169" s="192"/>
    </row>
    <row r="170" spans="1:32" s="167" customFormat="1" ht="15.6">
      <c r="A170" s="669" t="s">
        <v>1682</v>
      </c>
      <c r="B170" s="669"/>
      <c r="C170" s="669"/>
      <c r="D170" s="669"/>
      <c r="E170" s="669"/>
      <c r="F170" s="669"/>
      <c r="G170" s="669"/>
      <c r="H170" s="669"/>
      <c r="I170" s="669"/>
      <c r="J170" s="669"/>
      <c r="K170" s="669"/>
      <c r="L170" s="669"/>
    </row>
    <row r="171" spans="1:32" s="167" customFormat="1">
      <c r="A171" s="673" t="s">
        <v>2163</v>
      </c>
      <c r="B171" s="673"/>
      <c r="C171" s="673"/>
      <c r="D171" s="673"/>
      <c r="E171" s="673"/>
      <c r="F171" s="673"/>
      <c r="G171" s="673"/>
      <c r="H171" s="673"/>
      <c r="I171" s="673"/>
      <c r="J171" s="673"/>
      <c r="K171" s="673"/>
      <c r="L171" s="673"/>
    </row>
    <row r="172" spans="1:32" s="167" customFormat="1" ht="108.75" customHeight="1">
      <c r="A172" s="668" t="s">
        <v>2164</v>
      </c>
      <c r="B172" s="668"/>
      <c r="C172" s="668"/>
      <c r="D172" s="668"/>
      <c r="E172" s="668"/>
      <c r="F172" s="668"/>
      <c r="G172" s="668"/>
      <c r="H172" s="668"/>
      <c r="I172" s="668"/>
      <c r="J172" s="668"/>
      <c r="K172" s="668"/>
      <c r="L172" s="668"/>
    </row>
    <row r="173" spans="1:32" s="167" customFormat="1" ht="16.5" customHeight="1">
      <c r="A173" s="722" t="s">
        <v>1927</v>
      </c>
      <c r="B173" s="722"/>
      <c r="C173" s="722"/>
      <c r="D173" s="722"/>
      <c r="E173" s="722"/>
      <c r="F173" s="722"/>
      <c r="G173" s="722"/>
      <c r="H173" s="722"/>
      <c r="I173" s="722"/>
      <c r="J173" s="722"/>
      <c r="K173" s="722"/>
      <c r="L173" s="722"/>
      <c r="M173" s="191"/>
    </row>
    <row r="174" spans="1:32" s="167" customFormat="1" ht="88.5" customHeight="1">
      <c r="A174" s="668" t="s">
        <v>2165</v>
      </c>
      <c r="B174" s="668"/>
      <c r="C174" s="668"/>
      <c r="D174" s="668"/>
      <c r="E174" s="668"/>
      <c r="F174" s="668"/>
      <c r="G174" s="668"/>
      <c r="H174" s="668"/>
      <c r="I174" s="668"/>
      <c r="J174" s="668"/>
      <c r="K174" s="668"/>
      <c r="L174" s="668"/>
      <c r="M174" s="668"/>
    </row>
    <row r="175" spans="1:32" s="167" customFormat="1" ht="16.5" customHeight="1">
      <c r="A175" s="722" t="s">
        <v>2166</v>
      </c>
      <c r="B175" s="722"/>
      <c r="C175" s="722"/>
      <c r="D175" s="722"/>
      <c r="E175" s="722"/>
      <c r="F175" s="722"/>
      <c r="G175" s="722"/>
      <c r="H175" s="722"/>
      <c r="I175" s="722"/>
      <c r="J175" s="722"/>
      <c r="K175" s="722"/>
      <c r="L175" s="722"/>
      <c r="M175" s="191"/>
    </row>
    <row r="176" spans="1:32" s="167" customFormat="1" ht="39.75" customHeight="1">
      <c r="A176" s="668" t="s">
        <v>2167</v>
      </c>
      <c r="B176" s="668"/>
      <c r="C176" s="668"/>
      <c r="D176" s="668"/>
      <c r="E176" s="668"/>
      <c r="F176" s="668"/>
      <c r="G176" s="668"/>
      <c r="H176" s="668"/>
      <c r="I176" s="668"/>
      <c r="J176" s="668"/>
      <c r="K176" s="668"/>
      <c r="L176" s="668"/>
      <c r="M176" s="668"/>
    </row>
    <row r="177" spans="1:13" s="167" customFormat="1">
      <c r="A177" s="673" t="s">
        <v>1986</v>
      </c>
      <c r="B177" s="673"/>
      <c r="C177" s="673"/>
      <c r="D177" s="673"/>
      <c r="E177" s="673"/>
      <c r="F177" s="673"/>
      <c r="G177" s="673"/>
      <c r="H177" s="673"/>
      <c r="I177" s="673"/>
      <c r="J177" s="673"/>
      <c r="K177" s="673"/>
      <c r="L177" s="518"/>
      <c r="M177" s="190"/>
    </row>
    <row r="178" spans="1:13" s="167" customFormat="1">
      <c r="A178" s="668" t="s">
        <v>1987</v>
      </c>
      <c r="B178" s="668"/>
      <c r="C178" s="668"/>
      <c r="D178" s="668"/>
      <c r="E178" s="668"/>
      <c r="F178" s="668"/>
      <c r="G178" s="668"/>
      <c r="H178" s="668"/>
      <c r="I178" s="668"/>
      <c r="J178" s="668"/>
      <c r="K178" s="668"/>
      <c r="L178" s="668"/>
      <c r="M178" s="190"/>
    </row>
    <row r="179" spans="1:13" s="204" customFormat="1">
      <c r="A179" s="729" t="s">
        <v>1988</v>
      </c>
      <c r="B179" s="729"/>
      <c r="C179" s="729"/>
      <c r="D179" s="729"/>
      <c r="E179" s="729"/>
      <c r="F179" s="729"/>
      <c r="G179" s="729"/>
      <c r="H179" s="729"/>
      <c r="I179" s="729"/>
      <c r="J179" s="729"/>
      <c r="K179" s="194"/>
    </row>
    <row r="180" spans="1:13" s="206" customFormat="1" ht="6.6">
      <c r="A180" s="275"/>
      <c r="B180" s="275"/>
      <c r="C180" s="275"/>
      <c r="D180" s="275"/>
      <c r="E180" s="275"/>
      <c r="F180" s="275"/>
      <c r="G180" s="275"/>
      <c r="H180" s="275"/>
      <c r="I180" s="275"/>
      <c r="J180" s="275"/>
      <c r="K180" s="275"/>
    </row>
    <row r="181" spans="1:13" s="204" customFormat="1">
      <c r="A181" s="673" t="s">
        <v>1989</v>
      </c>
      <c r="B181" s="673"/>
      <c r="C181" s="673"/>
      <c r="D181" s="673"/>
      <c r="E181" s="673"/>
      <c r="F181" s="673"/>
      <c r="G181" s="673"/>
      <c r="H181" s="734"/>
      <c r="I181" s="734"/>
      <c r="J181" s="734"/>
      <c r="K181" s="734"/>
      <c r="L181" s="284"/>
    </row>
    <row r="182" spans="1:13" s="204" customFormat="1" ht="13.2">
      <c r="A182" s="668" t="s">
        <v>1990</v>
      </c>
      <c r="B182" s="668"/>
      <c r="C182" s="668"/>
      <c r="D182" s="668"/>
      <c r="E182" s="668"/>
      <c r="F182" s="668"/>
      <c r="G182" s="668"/>
      <c r="H182" s="668"/>
      <c r="I182" s="668"/>
      <c r="J182" s="668"/>
      <c r="K182" s="668"/>
      <c r="L182" s="668"/>
    </row>
    <row r="183" spans="1:13" s="204" customFormat="1" ht="17.25" customHeight="1">
      <c r="A183" s="668"/>
      <c r="B183" s="668"/>
      <c r="C183" s="668"/>
      <c r="D183" s="668"/>
      <c r="E183" s="668"/>
      <c r="F183" s="668"/>
      <c r="G183" s="668"/>
      <c r="H183" s="668"/>
      <c r="I183" s="668"/>
      <c r="J183" s="668"/>
      <c r="K183" s="668"/>
      <c r="L183" s="668"/>
    </row>
    <row r="184" spans="1:13" s="204" customFormat="1" ht="16.2" customHeight="1">
      <c r="A184" s="673" t="s">
        <v>1991</v>
      </c>
      <c r="B184" s="673"/>
      <c r="C184" s="673"/>
      <c r="D184" s="673"/>
      <c r="E184" s="673"/>
      <c r="F184" s="673"/>
      <c r="G184" s="673"/>
      <c r="H184" s="673"/>
      <c r="I184" s="673"/>
      <c r="J184" s="673"/>
      <c r="K184" s="673"/>
      <c r="L184" s="673"/>
      <c r="M184" s="673"/>
    </row>
    <row r="185" spans="1:13" s="204" customFormat="1" ht="88.5" customHeight="1">
      <c r="A185" s="668" t="s">
        <v>1992</v>
      </c>
      <c r="B185" s="668"/>
      <c r="C185" s="668"/>
      <c r="D185" s="668"/>
      <c r="E185" s="668"/>
      <c r="F185" s="668"/>
      <c r="G185" s="668"/>
      <c r="H185" s="668"/>
      <c r="I185" s="668"/>
      <c r="J185" s="668"/>
      <c r="K185" s="668"/>
      <c r="L185" s="668"/>
      <c r="M185" s="668"/>
    </row>
    <row r="186" spans="1:13" s="204" customFormat="1">
      <c r="A186" s="194"/>
      <c r="B186" s="194"/>
      <c r="C186" s="194"/>
      <c r="D186" s="194"/>
      <c r="E186" s="194"/>
      <c r="F186" s="194"/>
      <c r="G186" s="194"/>
      <c r="H186" s="194"/>
      <c r="I186" s="194"/>
      <c r="J186" s="194"/>
      <c r="K186" s="194"/>
    </row>
    <row r="187" spans="1:13" s="167" customFormat="1">
      <c r="A187" s="671" t="s">
        <v>1685</v>
      </c>
      <c r="B187" s="671"/>
      <c r="C187" s="671"/>
      <c r="D187" s="671"/>
      <c r="E187" s="671"/>
      <c r="F187" s="671"/>
      <c r="G187" s="671"/>
      <c r="H187" s="671"/>
      <c r="I187" s="671"/>
      <c r="J187" s="671"/>
      <c r="K187" s="671"/>
      <c r="L187" s="671"/>
    </row>
    <row r="188" spans="1:13" s="167" customFormat="1">
      <c r="B188" s="188"/>
    </row>
    <row r="189" spans="1:13" s="167" customFormat="1">
      <c r="B189" s="188"/>
    </row>
    <row r="190" spans="1:13" s="167" customFormat="1">
      <c r="B190" s="188"/>
      <c r="M190" s="222"/>
    </row>
    <row r="191" spans="1:13" s="167" customFormat="1" ht="74.849999999999994" customHeight="1">
      <c r="A191" s="737"/>
      <c r="B191" s="737"/>
      <c r="C191" s="737"/>
      <c r="D191" s="737"/>
      <c r="E191" s="737"/>
      <c r="F191" s="737"/>
      <c r="G191" s="737"/>
      <c r="H191" s="737"/>
      <c r="I191" s="737"/>
      <c r="J191" s="737"/>
      <c r="K191" s="737"/>
      <c r="L191" s="737"/>
      <c r="M191" s="737"/>
    </row>
    <row r="192" spans="1:13" s="167" customFormat="1" ht="34.35" customHeight="1">
      <c r="A192" s="760"/>
      <c r="B192" s="760"/>
      <c r="C192" s="760"/>
      <c r="D192" s="760"/>
      <c r="E192" s="760"/>
      <c r="F192" s="760"/>
      <c r="G192" s="760"/>
      <c r="H192" s="760"/>
      <c r="I192" s="760"/>
      <c r="J192" s="760"/>
      <c r="K192" s="760"/>
      <c r="L192" s="760"/>
      <c r="M192" s="760"/>
    </row>
  </sheetData>
  <sheetProtection algorithmName="SHA-512" hashValue="J5stnWNGDKn10f5zOhVC3+JC8dVg9fuOfi20Modx7ImE+RzHYK5JscBEMFeNO5Mwsg277dqWE3hCxtHkL20wKQ==" saltValue="FoAOOkGAMp1o2DBmYAfbkQ==" spinCount="100000" sheet="1" objects="1" scenarios="1" autoFilter="0"/>
  <mergeCells count="84">
    <mergeCell ref="A184:M184"/>
    <mergeCell ref="A185:M185"/>
    <mergeCell ref="A187:L187"/>
    <mergeCell ref="A191:M191"/>
    <mergeCell ref="A192:M192"/>
    <mergeCell ref="A182:L183"/>
    <mergeCell ref="A170:L170"/>
    <mergeCell ref="A171:L171"/>
    <mergeCell ref="A172:L172"/>
    <mergeCell ref="A173:L173"/>
    <mergeCell ref="A174:M174"/>
    <mergeCell ref="A175:L175"/>
    <mergeCell ref="A176:M176"/>
    <mergeCell ref="A177:K177"/>
    <mergeCell ref="A178:L178"/>
    <mergeCell ref="A179:J179"/>
    <mergeCell ref="A181:K181"/>
    <mergeCell ref="A139:A167"/>
    <mergeCell ref="B139:B145"/>
    <mergeCell ref="B146:B152"/>
    <mergeCell ref="B153:B159"/>
    <mergeCell ref="B160:B162"/>
    <mergeCell ref="B163:B165"/>
    <mergeCell ref="D96:G96"/>
    <mergeCell ref="H96:K96"/>
    <mergeCell ref="A98:A101"/>
    <mergeCell ref="A111:A134"/>
    <mergeCell ref="B111:B117"/>
    <mergeCell ref="B118:B123"/>
    <mergeCell ref="B124:B128"/>
    <mergeCell ref="B129:B131"/>
    <mergeCell ref="B132:B134"/>
    <mergeCell ref="D68:G68"/>
    <mergeCell ref="H68:K68"/>
    <mergeCell ref="P68:S68"/>
    <mergeCell ref="A70:A93"/>
    <mergeCell ref="B70:B72"/>
    <mergeCell ref="B73:B75"/>
    <mergeCell ref="B76:B78"/>
    <mergeCell ref="B79:B81"/>
    <mergeCell ref="B82:B84"/>
    <mergeCell ref="B85:B87"/>
    <mergeCell ref="B88:B90"/>
    <mergeCell ref="B91:B93"/>
    <mergeCell ref="L68:O68"/>
    <mergeCell ref="D40:G40"/>
    <mergeCell ref="H40:K40"/>
    <mergeCell ref="L40:O40"/>
    <mergeCell ref="P40:S40"/>
    <mergeCell ref="A42:A65"/>
    <mergeCell ref="B42:B44"/>
    <mergeCell ref="B45:B47"/>
    <mergeCell ref="B48:B50"/>
    <mergeCell ref="B51:B53"/>
    <mergeCell ref="B54:B56"/>
    <mergeCell ref="B57:B59"/>
    <mergeCell ref="B60:B62"/>
    <mergeCell ref="B63:B65"/>
    <mergeCell ref="T24:W24"/>
    <mergeCell ref="X24:AA24"/>
    <mergeCell ref="AB24:AE24"/>
    <mergeCell ref="A26:A37"/>
    <mergeCell ref="B26:B28"/>
    <mergeCell ref="B29:B31"/>
    <mergeCell ref="B32:B34"/>
    <mergeCell ref="B35:B37"/>
    <mergeCell ref="P24:S24"/>
    <mergeCell ref="A20:L20"/>
    <mergeCell ref="A21:L21"/>
    <mergeCell ref="D24:G24"/>
    <mergeCell ref="H24:K24"/>
    <mergeCell ref="L24:O24"/>
    <mergeCell ref="A19:L19"/>
    <mergeCell ref="A8:L8"/>
    <mergeCell ref="A9:L9"/>
    <mergeCell ref="A10:L10"/>
    <mergeCell ref="A11:L11"/>
    <mergeCell ref="A12:L12"/>
    <mergeCell ref="A13:L13"/>
    <mergeCell ref="A14:L14"/>
    <mergeCell ref="A15:L15"/>
    <mergeCell ref="A16:L16"/>
    <mergeCell ref="A17:L17"/>
    <mergeCell ref="A18:L18"/>
  </mergeCells>
  <hyperlinks>
    <hyperlink ref="A3" location="Index!A1" display="Index" xr:uid="{00000000-0004-0000-2800-000000000000}"/>
  </hyperlinks>
  <pageMargins left="0.7" right="0.7" top="0.75" bottom="0.75" header="0.3" footer="0.3"/>
  <pageSetup paperSize="9" scale="10" fitToHeight="0"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B2:H30"/>
  <sheetViews>
    <sheetView showGridLines="0" workbookViewId="0"/>
  </sheetViews>
  <sheetFormatPr baseColWidth="10" defaultColWidth="11.6640625" defaultRowHeight="14.4"/>
  <cols>
    <col min="1" max="1" width="4.33203125" customWidth="1"/>
    <col min="2" max="2" width="42.44140625" bestFit="1" customWidth="1"/>
    <col min="3" max="3" width="31.109375" bestFit="1" customWidth="1"/>
    <col min="4" max="4" width="37.88671875" bestFit="1" customWidth="1"/>
    <col min="5" max="5" width="17.88671875" bestFit="1" customWidth="1"/>
    <col min="6" max="6" width="11" bestFit="1" customWidth="1"/>
    <col min="7" max="7" width="25.44140625" bestFit="1" customWidth="1"/>
    <col min="8" max="8" width="26.5546875" bestFit="1" customWidth="1"/>
  </cols>
  <sheetData>
    <row r="2" spans="2:8">
      <c r="B2" s="1" t="s">
        <v>358</v>
      </c>
    </row>
    <row r="3" spans="2:8">
      <c r="B3" s="1" t="s">
        <v>210</v>
      </c>
    </row>
    <row r="4" spans="2:8">
      <c r="B4" s="1" t="s">
        <v>2168</v>
      </c>
    </row>
    <row r="6" spans="2:8" ht="28.8">
      <c r="B6" s="71" t="s">
        <v>2169</v>
      </c>
      <c r="C6" s="71" t="s">
        <v>2170</v>
      </c>
      <c r="D6" s="71" t="s">
        <v>1543</v>
      </c>
      <c r="E6" s="71" t="s">
        <v>93</v>
      </c>
      <c r="F6" s="71" t="s">
        <v>1865</v>
      </c>
      <c r="G6" s="71" t="s">
        <v>1547</v>
      </c>
      <c r="H6" s="71" t="s">
        <v>346</v>
      </c>
    </row>
    <row r="7" spans="2:8">
      <c r="B7" s="402" t="s">
        <v>314</v>
      </c>
      <c r="C7" s="402" t="s">
        <v>302</v>
      </c>
      <c r="D7" s="402" t="s">
        <v>2171</v>
      </c>
      <c r="E7" s="109" t="s">
        <v>293</v>
      </c>
      <c r="F7" s="339">
        <f>'3.3 Freighting goods'!D35</f>
        <v>0.61643000000000003</v>
      </c>
      <c r="G7" s="109" t="str">
        <f>"kgCO2e/"&amp;E7</f>
        <v>kgCO2e/tonelada-kilómetro</v>
      </c>
      <c r="H7" s="402" t="s">
        <v>2063</v>
      </c>
    </row>
    <row r="8" spans="2:8">
      <c r="B8" s="402" t="s">
        <v>314</v>
      </c>
      <c r="C8" s="402" t="s">
        <v>315</v>
      </c>
      <c r="D8" s="72" t="s">
        <v>2062</v>
      </c>
      <c r="E8" s="109" t="s">
        <v>293</v>
      </c>
      <c r="F8" s="339">
        <f>'3.3 Freighting goods'!P51</f>
        <v>0.17852999999999999</v>
      </c>
      <c r="G8" s="109" t="str">
        <f t="shared" ref="G8:G9" si="0">"kgCO2e/"&amp;E8</f>
        <v>kgCO2e/tonelada-kilómetro</v>
      </c>
      <c r="H8" s="402" t="s">
        <v>2063</v>
      </c>
    </row>
    <row r="9" spans="2:8">
      <c r="B9" s="402" t="s">
        <v>316</v>
      </c>
      <c r="C9" s="402" t="s">
        <v>302</v>
      </c>
      <c r="D9" s="402" t="s">
        <v>2171</v>
      </c>
      <c r="E9" s="109" t="s">
        <v>293</v>
      </c>
      <c r="F9" s="339">
        <f>'3.3 Freighting goods'!D35</f>
        <v>0.61643000000000003</v>
      </c>
      <c r="G9" s="109" t="str">
        <f t="shared" si="0"/>
        <v>kgCO2e/tonelada-kilómetro</v>
      </c>
      <c r="H9" s="402" t="s">
        <v>2063</v>
      </c>
    </row>
    <row r="10" spans="2:8">
      <c r="B10" s="402" t="s">
        <v>316</v>
      </c>
      <c r="C10" s="402" t="s">
        <v>315</v>
      </c>
      <c r="D10" s="72" t="s">
        <v>2062</v>
      </c>
      <c r="E10" s="109" t="s">
        <v>293</v>
      </c>
      <c r="F10" s="339">
        <f>'3.3 Freighting goods'!P51</f>
        <v>0.17852999999999999</v>
      </c>
      <c r="G10" s="109" t="str">
        <f t="shared" ref="G10:G11" si="1">"kgCO2e/"&amp;E10</f>
        <v>kgCO2e/tonelada-kilómetro</v>
      </c>
      <c r="H10" s="402" t="s">
        <v>2063</v>
      </c>
    </row>
    <row r="11" spans="2:8">
      <c r="B11" s="402" t="s">
        <v>317</v>
      </c>
      <c r="C11" s="402" t="s">
        <v>302</v>
      </c>
      <c r="D11" s="402" t="s">
        <v>2171</v>
      </c>
      <c r="E11" s="109" t="s">
        <v>293</v>
      </c>
      <c r="F11" s="339">
        <f>'3.3 Freighting goods'!D35</f>
        <v>0.61643000000000003</v>
      </c>
      <c r="G11" s="109" t="str">
        <f t="shared" si="1"/>
        <v>kgCO2e/tonelada-kilómetro</v>
      </c>
      <c r="H11" s="402" t="s">
        <v>2063</v>
      </c>
    </row>
    <row r="12" spans="2:8">
      <c r="B12" s="402" t="s">
        <v>317</v>
      </c>
      <c r="C12" s="402" t="s">
        <v>315</v>
      </c>
      <c r="D12" s="72" t="s">
        <v>2062</v>
      </c>
      <c r="E12" s="109" t="s">
        <v>293</v>
      </c>
      <c r="F12" s="339">
        <f>'3.3 Freighting goods'!P51</f>
        <v>0.17852999999999999</v>
      </c>
      <c r="G12" s="109" t="str">
        <f t="shared" ref="G12" si="2">"kgCO2e/"&amp;E12</f>
        <v>kgCO2e/tonelada-kilómetro</v>
      </c>
      <c r="H12" s="402" t="s">
        <v>2063</v>
      </c>
    </row>
    <row r="13" spans="2:8">
      <c r="B13" s="414"/>
    </row>
    <row r="14" spans="2:8">
      <c r="B14" s="414"/>
    </row>
    <row r="15" spans="2:8">
      <c r="B15" s="414"/>
    </row>
    <row r="16" spans="2:8">
      <c r="B16" s="414"/>
    </row>
    <row r="17" spans="2:2">
      <c r="B17" s="414"/>
    </row>
    <row r="18" spans="2:2">
      <c r="B18" s="414"/>
    </row>
    <row r="19" spans="2:2">
      <c r="B19" s="414"/>
    </row>
    <row r="20" spans="2:2">
      <c r="B20" s="414"/>
    </row>
    <row r="21" spans="2:2">
      <c r="B21" s="414"/>
    </row>
    <row r="22" spans="2:2">
      <c r="B22" s="414"/>
    </row>
    <row r="23" spans="2:2">
      <c r="B23" s="414"/>
    </row>
    <row r="24" spans="2:2">
      <c r="B24" s="414"/>
    </row>
    <row r="25" spans="2:2">
      <c r="B25" s="414"/>
    </row>
    <row r="26" spans="2:2">
      <c r="B26" s="414"/>
    </row>
    <row r="27" spans="2:2">
      <c r="B27" s="414"/>
    </row>
    <row r="28" spans="2:2">
      <c r="B28" s="414"/>
    </row>
    <row r="29" spans="2:2">
      <c r="B29" s="414"/>
    </row>
    <row r="30" spans="2:2">
      <c r="B30" s="414"/>
    </row>
  </sheetData>
  <sheetProtection algorithmName="SHA-512" hashValue="UM6AAAHXS5Xd9Wl3X9Gz1sHv5x77ryA3dzE4XNnIw0XfkXiKIsyk+zu/C4DLtk4xFDsMcD9+HMmnw/ZxR6AOYQ==" saltValue="xn/lNBaDnrNOuBZ2NoQ3PA==" spinCount="100000" sheet="1" objects="1" scenarios="1" autoFilter="0"/>
  <pageMargins left="0.7" right="0.7" top="0.75" bottom="0.75" header="0.3" footer="0.3"/>
  <ignoredErrors>
    <ignoredError sqref="F10 F8"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sheetPr>
  <dimension ref="B2:AF90"/>
  <sheetViews>
    <sheetView showGridLines="0" workbookViewId="0"/>
  </sheetViews>
  <sheetFormatPr baseColWidth="10" defaultColWidth="11.44140625" defaultRowHeight="14.4"/>
  <cols>
    <col min="1" max="1" width="3.88671875" customWidth="1"/>
    <col min="2" max="2" width="22.33203125" customWidth="1"/>
    <col min="3" max="3" width="28.33203125" customWidth="1"/>
    <col min="4" max="4" width="23.5546875" customWidth="1"/>
    <col min="5" max="5" width="33.33203125" customWidth="1"/>
    <col min="6" max="6" width="24.5546875" customWidth="1"/>
    <col min="7" max="7" width="19.6640625" customWidth="1"/>
    <col min="8" max="8" width="18.33203125" customWidth="1"/>
    <col min="9" max="9" width="66.33203125" bestFit="1" customWidth="1"/>
    <col min="10" max="11" width="11.44140625" customWidth="1"/>
    <col min="12" max="12" width="26.44140625" customWidth="1"/>
    <col min="13" max="23" width="11.44140625" customWidth="1"/>
    <col min="29" max="29" width="20.44140625" bestFit="1" customWidth="1"/>
    <col min="30" max="30" width="32.109375" bestFit="1" customWidth="1"/>
    <col min="31" max="31" width="12.88671875" bestFit="1" customWidth="1"/>
    <col min="32" max="32" width="37.33203125" bestFit="1" customWidth="1"/>
  </cols>
  <sheetData>
    <row r="2" spans="2:32">
      <c r="B2" s="61" t="s">
        <v>343</v>
      </c>
      <c r="C2" s="61" t="s">
        <v>344</v>
      </c>
      <c r="D2" s="61" t="s">
        <v>345</v>
      </c>
      <c r="E2" s="61" t="s">
        <v>346</v>
      </c>
    </row>
    <row r="3" spans="2:32">
      <c r="B3" s="62" t="s">
        <v>347</v>
      </c>
      <c r="C3" s="63">
        <f>'1.4 AR5 CH8  T8.A.1'!H4</f>
        <v>1</v>
      </c>
      <c r="D3" s="64" t="s">
        <v>102</v>
      </c>
      <c r="E3" s="64" t="s">
        <v>348</v>
      </c>
    </row>
    <row r="4" spans="2:32">
      <c r="B4" s="62" t="s">
        <v>156</v>
      </c>
      <c r="C4" s="63">
        <f>'1.4 AR5 CH8  T8.A.1'!H5</f>
        <v>28</v>
      </c>
      <c r="D4" s="64" t="s">
        <v>102</v>
      </c>
      <c r="E4" s="64" t="s">
        <v>348</v>
      </c>
    </row>
    <row r="5" spans="2:32">
      <c r="B5" s="62" t="s">
        <v>349</v>
      </c>
      <c r="C5" s="63">
        <f>'1.4 AR5 CH8  T8.A.1'!H7</f>
        <v>265</v>
      </c>
      <c r="D5" s="64" t="s">
        <v>102</v>
      </c>
      <c r="E5" s="64" t="s">
        <v>348</v>
      </c>
    </row>
    <row r="6" spans="2:32">
      <c r="B6" s="65" t="s">
        <v>350</v>
      </c>
      <c r="C6" s="63">
        <v>4.1867999999999999</v>
      </c>
      <c r="D6" s="413" t="s">
        <v>351</v>
      </c>
      <c r="E6" s="157" t="s">
        <v>352</v>
      </c>
    </row>
    <row r="7" spans="2:32">
      <c r="B7" s="68" t="s">
        <v>353</v>
      </c>
      <c r="C7" s="69">
        <v>1000000000</v>
      </c>
      <c r="D7" s="413" t="s">
        <v>351</v>
      </c>
      <c r="E7" s="413"/>
    </row>
    <row r="8" spans="2:32" ht="28.8">
      <c r="B8" s="66" t="s">
        <v>354</v>
      </c>
      <c r="C8" s="67">
        <v>0.95</v>
      </c>
      <c r="D8" s="64" t="s">
        <v>102</v>
      </c>
      <c r="E8" s="64" t="s">
        <v>355</v>
      </c>
    </row>
    <row r="9" spans="2:32">
      <c r="B9" s="66" t="s">
        <v>356</v>
      </c>
      <c r="C9" s="67">
        <v>0.9</v>
      </c>
      <c r="D9" s="64" t="s">
        <v>102</v>
      </c>
      <c r="E9" s="64" t="s">
        <v>357</v>
      </c>
    </row>
    <row r="11" spans="2:32">
      <c r="B11" s="1" t="s">
        <v>358</v>
      </c>
    </row>
    <row r="12" spans="2:32">
      <c r="B12" s="1" t="s">
        <v>210</v>
      </c>
    </row>
    <row r="13" spans="2:32">
      <c r="B13" s="1" t="s">
        <v>2172</v>
      </c>
    </row>
    <row r="14" spans="2:32">
      <c r="T14" s="519" t="s">
        <v>360</v>
      </c>
      <c r="U14" s="519"/>
      <c r="V14" s="519"/>
      <c r="W14" s="519"/>
      <c r="X14" s="519" t="s">
        <v>361</v>
      </c>
      <c r="Y14" s="519"/>
      <c r="Z14" s="519"/>
      <c r="AA14" s="519"/>
      <c r="AB14" s="519"/>
      <c r="AC14" s="519"/>
    </row>
    <row r="15" spans="2:32" ht="57.6">
      <c r="B15" s="71" t="s">
        <v>362</v>
      </c>
      <c r="C15" s="71" t="s">
        <v>363</v>
      </c>
      <c r="D15" s="71" t="s">
        <v>364</v>
      </c>
      <c r="E15" s="71" t="s">
        <v>365</v>
      </c>
      <c r="F15" s="71" t="s">
        <v>93</v>
      </c>
      <c r="G15" s="98" t="s">
        <v>366</v>
      </c>
      <c r="H15" s="74" t="s">
        <v>367</v>
      </c>
      <c r="I15" s="74" t="s">
        <v>368</v>
      </c>
      <c r="J15" s="74" t="s">
        <v>369</v>
      </c>
      <c r="K15" s="75" t="s">
        <v>370</v>
      </c>
      <c r="L15" s="75" t="s">
        <v>345</v>
      </c>
      <c r="M15" s="75" t="s">
        <v>371</v>
      </c>
      <c r="N15" s="75" t="s">
        <v>372</v>
      </c>
      <c r="O15" s="75" t="s">
        <v>373</v>
      </c>
      <c r="P15" s="75" t="s">
        <v>374</v>
      </c>
      <c r="Q15" s="71" t="s">
        <v>375</v>
      </c>
      <c r="R15" s="71" t="s">
        <v>376</v>
      </c>
      <c r="S15" s="71" t="s">
        <v>345</v>
      </c>
      <c r="T15" s="71" t="s">
        <v>377</v>
      </c>
      <c r="U15" s="71" t="s">
        <v>378</v>
      </c>
      <c r="V15" s="71" t="s">
        <v>379</v>
      </c>
      <c r="W15" s="71" t="s">
        <v>345</v>
      </c>
      <c r="X15" s="71" t="s">
        <v>377</v>
      </c>
      <c r="Y15" s="71" t="s">
        <v>378</v>
      </c>
      <c r="Z15" s="71" t="s">
        <v>379</v>
      </c>
      <c r="AA15" s="71" t="s">
        <v>345</v>
      </c>
      <c r="AB15" s="71" t="s">
        <v>380</v>
      </c>
      <c r="AC15" s="71" t="s">
        <v>345</v>
      </c>
      <c r="AD15" s="74" t="s">
        <v>96</v>
      </c>
      <c r="AE15" s="75" t="s">
        <v>97</v>
      </c>
      <c r="AF15" s="99" t="s">
        <v>381</v>
      </c>
    </row>
    <row r="16" spans="2:32">
      <c r="B16" s="72" t="s">
        <v>101</v>
      </c>
      <c r="C16" s="72" t="s">
        <v>101</v>
      </c>
      <c r="D16" s="72" t="s">
        <v>101</v>
      </c>
      <c r="E16" s="72" t="s">
        <v>382</v>
      </c>
      <c r="F16" s="96" t="s">
        <v>103</v>
      </c>
      <c r="G16" s="79" t="s">
        <v>383</v>
      </c>
      <c r="H16" s="344">
        <f>'1.1 V2 CH2 T2.4'!$F$18</f>
        <v>73300</v>
      </c>
      <c r="I16" s="345">
        <f>'1.1 V2 CH2 T2.4'!$I$18</f>
        <v>10</v>
      </c>
      <c r="J16" s="345">
        <f>'1.1 V2 CH2 T2.4'!$L$18</f>
        <v>0.6</v>
      </c>
      <c r="K16" s="76">
        <f>'1.1 y 1.2CUADROA2 - BNE 2020-21'!$C$14</f>
        <v>0.7</v>
      </c>
      <c r="L16" s="72" t="s">
        <v>384</v>
      </c>
      <c r="M16" s="73">
        <f>'1.1 y 1.2CUADROA2 - BNE 2020-21'!D$14</f>
        <v>11500</v>
      </c>
      <c r="N16" s="72" t="s">
        <v>400</v>
      </c>
      <c r="O16" s="102">
        <f t="shared" ref="O16:O28" si="0">IF(G16="Gaseoso", M16*$C$9, M16*$C$8)</f>
        <v>10925</v>
      </c>
      <c r="P16" s="109" t="str">
        <f t="shared" ref="P16:P28" si="1">N16</f>
        <v>kcal/kg</v>
      </c>
      <c r="Q16" s="109" t="s">
        <v>385</v>
      </c>
      <c r="R16" s="103">
        <f t="shared" ref="R16:R48" si="2">O16*$C$6/$C$7*IF(Q16="Sí",K16*1000,1)</f>
        <v>3.2018552999999998E-2</v>
      </c>
      <c r="S16" s="103" t="str">
        <f t="shared" ref="S16:S28" si="3">IF(Q16="Sí","TJ/m3", IF(N16="kcal/m3", "TJ/m3","TJ/kg"))</f>
        <v>TJ/m3</v>
      </c>
      <c r="T16" s="103">
        <f>H16*$R16</f>
        <v>2346.9599349</v>
      </c>
      <c r="U16" s="103">
        <f t="shared" ref="U16:V28" si="4">I16*$R16</f>
        <v>0.32018553</v>
      </c>
      <c r="V16" s="103">
        <f t="shared" si="4"/>
        <v>1.92111318E-2</v>
      </c>
      <c r="W16" s="103" t="str">
        <f t="shared" ref="W16:W28" si="5">IF(S16="TJ/m3", "kg GEI/m3", "kg GEI/kg")</f>
        <v>kg GEI/m3</v>
      </c>
      <c r="X16" s="103">
        <f t="shared" ref="X16:X28" si="6">$C$3*T16</f>
        <v>2346.9599349</v>
      </c>
      <c r="Y16" s="103">
        <f t="shared" ref="Y16:Y28" si="7">U16*$C$4</f>
        <v>8.9651948400000006</v>
      </c>
      <c r="Z16" s="103">
        <f t="shared" ref="Z16:Z28" si="8">V16*$C$5</f>
        <v>5.0909499269999996</v>
      </c>
      <c r="AA16" s="105" t="str">
        <f t="shared" ref="AA16:AA28" si="9">IF(S16="TJ/m3", "kg CO2e/m3", "kg CO2e/kg")</f>
        <v>kg CO2e/m3</v>
      </c>
      <c r="AB16" s="103">
        <f>SUM(X16:Z16)*IF(AND(F16="gramos",S16="TJ/m3")=TRUE(),1/(K16*1000000),IF(AND(F16="gramos",S16="TJ/kg")=TRUE(),1/(1000),IF(AND(F16="kilogramos",S16="TJ/m3")=TRUE(),1/(K16*1000),IF(AND(F16="toneladas",S16="TJ/m3")=TRUE(),1/K16,IF(AND(F16="toneladas",S16="TJ/kg")=TRUE(),1000,IF(AND(S16="TJ/m3",F16="litros")=TRUE(),1/1000,IF(AND(S16="TJ/kg",F16="litros")=TRUE(),K16/1000,1)))))))</f>
        <v>2361.0160796670002</v>
      </c>
      <c r="AC16" s="404" t="str">
        <f>"kgCO2e/"&amp;F16</f>
        <v>kgCO2e/metros cúbicos</v>
      </c>
      <c r="AD16" s="72" t="s">
        <v>386</v>
      </c>
      <c r="AE16" s="72" t="s">
        <v>387</v>
      </c>
      <c r="AF16" s="402" t="s">
        <v>102</v>
      </c>
    </row>
    <row r="17" spans="2:32">
      <c r="B17" s="72" t="s">
        <v>101</v>
      </c>
      <c r="C17" s="72" t="s">
        <v>101</v>
      </c>
      <c r="D17" s="72" t="s">
        <v>101</v>
      </c>
      <c r="E17" s="72" t="s">
        <v>382</v>
      </c>
      <c r="F17" s="96" t="s">
        <v>104</v>
      </c>
      <c r="G17" s="79" t="s">
        <v>383</v>
      </c>
      <c r="H17" s="344">
        <f>'1.1 V2 CH2 T2.4'!$F$18</f>
        <v>73300</v>
      </c>
      <c r="I17" s="345">
        <f>'1.1 V2 CH2 T2.4'!$I$18</f>
        <v>10</v>
      </c>
      <c r="J17" s="345">
        <f>'1.1 V2 CH2 T2.4'!$L$18</f>
        <v>0.6</v>
      </c>
      <c r="K17" s="76">
        <f>'1.1 y 1.2CUADROA2 - BNE 2020-21'!$C$14</f>
        <v>0.7</v>
      </c>
      <c r="L17" s="72" t="s">
        <v>384</v>
      </c>
      <c r="M17" s="73">
        <f>'1.1 y 1.2CUADROA2 - BNE 2020-21'!D$14</f>
        <v>11500</v>
      </c>
      <c r="N17" s="72" t="s">
        <v>400</v>
      </c>
      <c r="O17" s="102">
        <f t="shared" si="0"/>
        <v>10925</v>
      </c>
      <c r="P17" s="109" t="str">
        <f t="shared" si="1"/>
        <v>kcal/kg</v>
      </c>
      <c r="Q17" s="109" t="s">
        <v>385</v>
      </c>
      <c r="R17" s="103">
        <f t="shared" si="2"/>
        <v>3.2018552999999998E-2</v>
      </c>
      <c r="S17" s="103" t="str">
        <f t="shared" si="3"/>
        <v>TJ/m3</v>
      </c>
      <c r="T17" s="103">
        <f>H17*$R17</f>
        <v>2346.9599349</v>
      </c>
      <c r="U17" s="103">
        <f t="shared" si="4"/>
        <v>0.32018553</v>
      </c>
      <c r="V17" s="103">
        <f t="shared" si="4"/>
        <v>1.92111318E-2</v>
      </c>
      <c r="W17" s="103" t="str">
        <f t="shared" si="5"/>
        <v>kg GEI/m3</v>
      </c>
      <c r="X17" s="103">
        <f t="shared" si="6"/>
        <v>2346.9599349</v>
      </c>
      <c r="Y17" s="103">
        <f t="shared" si="7"/>
        <v>8.9651948400000006</v>
      </c>
      <c r="Z17" s="103">
        <f t="shared" si="8"/>
        <v>5.0909499269999996</v>
      </c>
      <c r="AA17" s="105" t="str">
        <f t="shared" si="9"/>
        <v>kg CO2e/m3</v>
      </c>
      <c r="AB17" s="123">
        <f t="shared" ref="AB17:AB38" si="10">SUM(X17:Z17)*IF(AND(F17="gramos",S17="TJ/m3")=TRUE(),1/(K17*1000000),IF(AND(F17="gramos",S17="TJ/kg")=TRUE(),1/(1000),IF(AND(F17="kilogramos",S17="TJ/m3")=TRUE(),1/(K17*1000),IF(AND(F17="toneladas",S17="TJ/m3")=TRUE(),1/K17,IF(AND(F17="toneladas",S17="TJ/kg")=TRUE(),1000,IF(AND(S17="TJ/m3",F17="litros")=TRUE(),1/1000,IF(AND(S17="TJ/kg",F17="litros")=TRUE(),K17/1000,1)))))))</f>
        <v>2.3610160796670003</v>
      </c>
      <c r="AC17" s="404" t="str">
        <f t="shared" ref="AC17:AC48" si="11">"kgCO2e/"&amp;F17</f>
        <v>kgCO2e/litros</v>
      </c>
      <c r="AD17" s="72" t="s">
        <v>386</v>
      </c>
      <c r="AE17" s="72" t="s">
        <v>387</v>
      </c>
      <c r="AF17" s="402" t="s">
        <v>102</v>
      </c>
    </row>
    <row r="18" spans="2:32">
      <c r="B18" s="72" t="s">
        <v>105</v>
      </c>
      <c r="C18" s="72" t="s">
        <v>388</v>
      </c>
      <c r="D18" s="72" t="s">
        <v>389</v>
      </c>
      <c r="E18" s="72" t="s">
        <v>390</v>
      </c>
      <c r="F18" s="96" t="s">
        <v>106</v>
      </c>
      <c r="G18" s="79" t="s">
        <v>391</v>
      </c>
      <c r="H18" s="344">
        <f>'1.1 V2 CH2 T2.4'!$F$29</f>
        <v>94600</v>
      </c>
      <c r="I18" s="345">
        <f>'1.1 V2 CH2 T2.4'!$I$29</f>
        <v>10</v>
      </c>
      <c r="J18" s="345">
        <f>'1.1 V2 CH2 T2.4'!$L$29</f>
        <v>1.5</v>
      </c>
      <c r="K18" s="72"/>
      <c r="L18" s="72"/>
      <c r="M18" s="73">
        <f>'1.1 y 1.2CUADROA2 - BNE 2020-21'!D$23</f>
        <v>7000</v>
      </c>
      <c r="N18" s="72" t="s">
        <v>400</v>
      </c>
      <c r="O18" s="102">
        <f t="shared" si="0"/>
        <v>6650</v>
      </c>
      <c r="P18" s="109" t="str">
        <f t="shared" si="1"/>
        <v>kcal/kg</v>
      </c>
      <c r="Q18" s="109" t="s">
        <v>392</v>
      </c>
      <c r="R18" s="103">
        <f t="shared" si="2"/>
        <v>2.7842219999999997E-5</v>
      </c>
      <c r="S18" s="103" t="str">
        <f t="shared" si="3"/>
        <v>TJ/kg</v>
      </c>
      <c r="T18" s="103">
        <f t="shared" ref="T18:V32" si="12">H18*$R18</f>
        <v>2.6338740119999997</v>
      </c>
      <c r="U18" s="103">
        <f t="shared" si="4"/>
        <v>2.7842219999999997E-4</v>
      </c>
      <c r="V18" s="103">
        <f t="shared" si="4"/>
        <v>4.1763329999999996E-5</v>
      </c>
      <c r="W18" s="103" t="str">
        <f t="shared" si="5"/>
        <v>kg GEI/kg</v>
      </c>
      <c r="X18" s="103">
        <f t="shared" si="6"/>
        <v>2.6338740119999997</v>
      </c>
      <c r="Y18" s="103">
        <f t="shared" si="7"/>
        <v>7.795821599999999E-3</v>
      </c>
      <c r="Z18" s="103">
        <f t="shared" si="8"/>
        <v>1.1067282449999999E-2</v>
      </c>
      <c r="AA18" s="105" t="str">
        <f t="shared" si="9"/>
        <v>kg CO2e/kg</v>
      </c>
      <c r="AB18" s="103">
        <f t="shared" si="10"/>
        <v>2652.7371160499997</v>
      </c>
      <c r="AC18" s="404" t="str">
        <f t="shared" si="11"/>
        <v>kgCO2e/toneladas</v>
      </c>
      <c r="AD18" s="72" t="s">
        <v>386</v>
      </c>
      <c r="AE18" s="72" t="s">
        <v>387</v>
      </c>
      <c r="AF18" s="402" t="s">
        <v>102</v>
      </c>
    </row>
    <row r="19" spans="2:32">
      <c r="B19" s="72" t="s">
        <v>105</v>
      </c>
      <c r="C19" s="72" t="s">
        <v>388</v>
      </c>
      <c r="D19" s="72" t="s">
        <v>389</v>
      </c>
      <c r="E19" s="72" t="s">
        <v>390</v>
      </c>
      <c r="F19" s="96" t="s">
        <v>107</v>
      </c>
      <c r="G19" s="79" t="s">
        <v>391</v>
      </c>
      <c r="H19" s="344">
        <f>'1.1 V2 CH2 T2.4'!$F$29</f>
        <v>94600</v>
      </c>
      <c r="I19" s="345">
        <f>'1.1 V2 CH2 T2.4'!$I$29</f>
        <v>10</v>
      </c>
      <c r="J19" s="345">
        <f>'1.1 V2 CH2 T2.4'!$L$29</f>
        <v>1.5</v>
      </c>
      <c r="K19" s="72"/>
      <c r="L19" s="72"/>
      <c r="M19" s="73">
        <f>'1.1 y 1.2CUADROA2 - BNE 2020-21'!D$23</f>
        <v>7000</v>
      </c>
      <c r="N19" s="72" t="s">
        <v>400</v>
      </c>
      <c r="O19" s="102">
        <f t="shared" si="0"/>
        <v>6650</v>
      </c>
      <c r="P19" s="109" t="str">
        <f t="shared" si="1"/>
        <v>kcal/kg</v>
      </c>
      <c r="Q19" s="109" t="s">
        <v>392</v>
      </c>
      <c r="R19" s="103">
        <f t="shared" si="2"/>
        <v>2.7842219999999997E-5</v>
      </c>
      <c r="S19" s="103" t="str">
        <f t="shared" si="3"/>
        <v>TJ/kg</v>
      </c>
      <c r="T19" s="103">
        <f t="shared" si="12"/>
        <v>2.6338740119999997</v>
      </c>
      <c r="U19" s="103">
        <f t="shared" si="4"/>
        <v>2.7842219999999997E-4</v>
      </c>
      <c r="V19" s="103">
        <f t="shared" si="4"/>
        <v>4.1763329999999996E-5</v>
      </c>
      <c r="W19" s="103" t="str">
        <f t="shared" si="5"/>
        <v>kg GEI/kg</v>
      </c>
      <c r="X19" s="103">
        <f t="shared" si="6"/>
        <v>2.6338740119999997</v>
      </c>
      <c r="Y19" s="104">
        <f t="shared" si="7"/>
        <v>7.795821599999999E-3</v>
      </c>
      <c r="Z19" s="103">
        <f t="shared" si="8"/>
        <v>1.1067282449999999E-2</v>
      </c>
      <c r="AA19" s="105" t="str">
        <f t="shared" si="9"/>
        <v>kg CO2e/kg</v>
      </c>
      <c r="AB19" s="103">
        <f t="shared" si="10"/>
        <v>2.6527371160499995</v>
      </c>
      <c r="AC19" s="404" t="str">
        <f t="shared" si="11"/>
        <v>kgCO2e/kilogramos</v>
      </c>
      <c r="AD19" s="72" t="s">
        <v>386</v>
      </c>
      <c r="AE19" s="72" t="s">
        <v>387</v>
      </c>
      <c r="AF19" s="402" t="s">
        <v>102</v>
      </c>
    </row>
    <row r="20" spans="2:32">
      <c r="B20" s="72" t="s">
        <v>105</v>
      </c>
      <c r="C20" s="72" t="s">
        <v>388</v>
      </c>
      <c r="D20" s="72" t="s">
        <v>389</v>
      </c>
      <c r="E20" s="72" t="s">
        <v>390</v>
      </c>
      <c r="F20" s="96" t="s">
        <v>108</v>
      </c>
      <c r="G20" s="79" t="s">
        <v>391</v>
      </c>
      <c r="H20" s="344">
        <f>'1.1 V2 CH2 T2.4'!$F$29</f>
        <v>94600</v>
      </c>
      <c r="I20" s="345">
        <f>'1.1 V2 CH2 T2.4'!$I$29</f>
        <v>10</v>
      </c>
      <c r="J20" s="345">
        <f>'1.1 V2 CH2 T2.4'!$L$29</f>
        <v>1.5</v>
      </c>
      <c r="K20" s="72"/>
      <c r="L20" s="72"/>
      <c r="M20" s="73">
        <f>'1.1 y 1.2CUADROA2 - BNE 2020-21'!D$23</f>
        <v>7000</v>
      </c>
      <c r="N20" s="72" t="s">
        <v>400</v>
      </c>
      <c r="O20" s="102">
        <f t="shared" si="0"/>
        <v>6650</v>
      </c>
      <c r="P20" s="109" t="str">
        <f t="shared" si="1"/>
        <v>kcal/kg</v>
      </c>
      <c r="Q20" s="109" t="s">
        <v>392</v>
      </c>
      <c r="R20" s="103">
        <f t="shared" si="2"/>
        <v>2.7842219999999997E-5</v>
      </c>
      <c r="S20" s="103" t="str">
        <f t="shared" si="3"/>
        <v>TJ/kg</v>
      </c>
      <c r="T20" s="103">
        <f t="shared" si="12"/>
        <v>2.6338740119999997</v>
      </c>
      <c r="U20" s="103">
        <f t="shared" si="4"/>
        <v>2.7842219999999997E-4</v>
      </c>
      <c r="V20" s="103">
        <f t="shared" si="4"/>
        <v>4.1763329999999996E-5</v>
      </c>
      <c r="W20" s="103" t="str">
        <f t="shared" si="5"/>
        <v>kg GEI/kg</v>
      </c>
      <c r="X20" s="103">
        <f t="shared" si="6"/>
        <v>2.6338740119999997</v>
      </c>
      <c r="Y20" s="103">
        <f t="shared" si="7"/>
        <v>7.795821599999999E-3</v>
      </c>
      <c r="Z20" s="103">
        <f t="shared" si="8"/>
        <v>1.1067282449999999E-2</v>
      </c>
      <c r="AA20" s="105" t="str">
        <f t="shared" si="9"/>
        <v>kg CO2e/kg</v>
      </c>
      <c r="AB20" s="123">
        <f t="shared" si="10"/>
        <v>2.6527371160499995E-3</v>
      </c>
      <c r="AC20" s="404" t="str">
        <f t="shared" si="11"/>
        <v>kgCO2e/gramos</v>
      </c>
      <c r="AD20" s="72" t="s">
        <v>386</v>
      </c>
      <c r="AE20" s="72" t="s">
        <v>387</v>
      </c>
      <c r="AF20" s="402" t="s">
        <v>102</v>
      </c>
    </row>
    <row r="21" spans="2:32">
      <c r="B21" s="72" t="s">
        <v>109</v>
      </c>
      <c r="C21" s="72" t="s">
        <v>388</v>
      </c>
      <c r="D21" s="72" t="s">
        <v>393</v>
      </c>
      <c r="E21" s="72" t="s">
        <v>394</v>
      </c>
      <c r="F21" s="96" t="s">
        <v>106</v>
      </c>
      <c r="G21" s="79" t="s">
        <v>391</v>
      </c>
      <c r="H21" s="344">
        <f>'1.1 V2 CH2 T2.4'!$F$30</f>
        <v>94600</v>
      </c>
      <c r="I21" s="345">
        <f>'1.1 V2 CH2 T2.4'!$I$30</f>
        <v>10</v>
      </c>
      <c r="J21" s="345">
        <f>'1.1 V2 CH2 T2.4'!$L$30</f>
        <v>1.5</v>
      </c>
      <c r="K21" s="72"/>
      <c r="L21" s="72"/>
      <c r="M21" s="73">
        <f>'1.1 y 1.2CUADROA2 - BNE 2020-21'!D$23</f>
        <v>7000</v>
      </c>
      <c r="N21" s="72" t="s">
        <v>400</v>
      </c>
      <c r="O21" s="102">
        <f t="shared" si="0"/>
        <v>6650</v>
      </c>
      <c r="P21" s="109" t="str">
        <f t="shared" si="1"/>
        <v>kcal/kg</v>
      </c>
      <c r="Q21" s="109" t="s">
        <v>392</v>
      </c>
      <c r="R21" s="103">
        <f t="shared" si="2"/>
        <v>2.7842219999999997E-5</v>
      </c>
      <c r="S21" s="103" t="str">
        <f t="shared" si="3"/>
        <v>TJ/kg</v>
      </c>
      <c r="T21" s="103">
        <f t="shared" si="12"/>
        <v>2.6338740119999997</v>
      </c>
      <c r="U21" s="103">
        <f t="shared" si="4"/>
        <v>2.7842219999999997E-4</v>
      </c>
      <c r="V21" s="103">
        <f t="shared" si="4"/>
        <v>4.1763329999999996E-5</v>
      </c>
      <c r="W21" s="103" t="str">
        <f t="shared" si="5"/>
        <v>kg GEI/kg</v>
      </c>
      <c r="X21" s="103">
        <f t="shared" si="6"/>
        <v>2.6338740119999997</v>
      </c>
      <c r="Y21" s="103">
        <f t="shared" si="7"/>
        <v>7.795821599999999E-3</v>
      </c>
      <c r="Z21" s="103">
        <f t="shared" si="8"/>
        <v>1.1067282449999999E-2</v>
      </c>
      <c r="AA21" s="105" t="str">
        <f t="shared" si="9"/>
        <v>kg CO2e/kg</v>
      </c>
      <c r="AB21" s="103">
        <f t="shared" si="10"/>
        <v>2652.7371160499997</v>
      </c>
      <c r="AC21" s="404" t="str">
        <f t="shared" si="11"/>
        <v>kgCO2e/toneladas</v>
      </c>
      <c r="AD21" s="72" t="s">
        <v>386</v>
      </c>
      <c r="AE21" s="72" t="s">
        <v>387</v>
      </c>
      <c r="AF21" s="402" t="s">
        <v>102</v>
      </c>
    </row>
    <row r="22" spans="2:32">
      <c r="B22" s="72" t="s">
        <v>109</v>
      </c>
      <c r="C22" s="72" t="s">
        <v>388</v>
      </c>
      <c r="D22" s="72" t="s">
        <v>393</v>
      </c>
      <c r="E22" s="72" t="s">
        <v>394</v>
      </c>
      <c r="F22" s="96" t="s">
        <v>107</v>
      </c>
      <c r="G22" s="79" t="s">
        <v>391</v>
      </c>
      <c r="H22" s="344">
        <f>'1.1 V2 CH2 T2.4'!$F$30</f>
        <v>94600</v>
      </c>
      <c r="I22" s="345">
        <f>'1.1 V2 CH2 T2.4'!$I$30</f>
        <v>10</v>
      </c>
      <c r="J22" s="345">
        <f>'1.1 V2 CH2 T2.4'!$L$30</f>
        <v>1.5</v>
      </c>
      <c r="K22" s="72"/>
      <c r="L22" s="72"/>
      <c r="M22" s="73">
        <f>'1.1 y 1.2CUADROA2 - BNE 2020-21'!D$23</f>
        <v>7000</v>
      </c>
      <c r="N22" s="72" t="s">
        <v>400</v>
      </c>
      <c r="O22" s="102">
        <f t="shared" si="0"/>
        <v>6650</v>
      </c>
      <c r="P22" s="109" t="str">
        <f t="shared" si="1"/>
        <v>kcal/kg</v>
      </c>
      <c r="Q22" s="109" t="s">
        <v>392</v>
      </c>
      <c r="R22" s="103">
        <f t="shared" si="2"/>
        <v>2.7842219999999997E-5</v>
      </c>
      <c r="S22" s="103" t="str">
        <f t="shared" si="3"/>
        <v>TJ/kg</v>
      </c>
      <c r="T22" s="103">
        <f t="shared" si="12"/>
        <v>2.6338740119999997</v>
      </c>
      <c r="U22" s="103">
        <f t="shared" si="4"/>
        <v>2.7842219999999997E-4</v>
      </c>
      <c r="V22" s="103">
        <f t="shared" si="4"/>
        <v>4.1763329999999996E-5</v>
      </c>
      <c r="W22" s="103" t="str">
        <f t="shared" si="5"/>
        <v>kg GEI/kg</v>
      </c>
      <c r="X22" s="103">
        <f t="shared" si="6"/>
        <v>2.6338740119999997</v>
      </c>
      <c r="Y22" s="103">
        <f t="shared" si="7"/>
        <v>7.795821599999999E-3</v>
      </c>
      <c r="Z22" s="103">
        <f t="shared" si="8"/>
        <v>1.1067282449999999E-2</v>
      </c>
      <c r="AA22" s="105" t="str">
        <f t="shared" si="9"/>
        <v>kg CO2e/kg</v>
      </c>
      <c r="AB22" s="103">
        <f t="shared" si="10"/>
        <v>2.6527371160499995</v>
      </c>
      <c r="AC22" s="404" t="str">
        <f t="shared" si="11"/>
        <v>kgCO2e/kilogramos</v>
      </c>
      <c r="AD22" s="72" t="s">
        <v>386</v>
      </c>
      <c r="AE22" s="72" t="s">
        <v>387</v>
      </c>
      <c r="AF22" s="402" t="s">
        <v>102</v>
      </c>
    </row>
    <row r="23" spans="2:32">
      <c r="B23" s="72" t="s">
        <v>109</v>
      </c>
      <c r="C23" s="72" t="s">
        <v>388</v>
      </c>
      <c r="D23" s="72" t="s">
        <v>393</v>
      </c>
      <c r="E23" s="72" t="s">
        <v>394</v>
      </c>
      <c r="F23" s="96" t="s">
        <v>108</v>
      </c>
      <c r="G23" s="79" t="s">
        <v>391</v>
      </c>
      <c r="H23" s="344">
        <f>'1.1 V2 CH2 T2.4'!$F$30</f>
        <v>94600</v>
      </c>
      <c r="I23" s="345">
        <f>'1.1 V2 CH2 T2.4'!$I$30</f>
        <v>10</v>
      </c>
      <c r="J23" s="345">
        <f>'1.1 V2 CH2 T2.4'!$L$30</f>
        <v>1.5</v>
      </c>
      <c r="K23" s="72"/>
      <c r="L23" s="72"/>
      <c r="M23" s="73">
        <f>'1.1 y 1.2CUADROA2 - BNE 2020-21'!D$23</f>
        <v>7000</v>
      </c>
      <c r="N23" s="72" t="s">
        <v>400</v>
      </c>
      <c r="O23" s="102">
        <f t="shared" si="0"/>
        <v>6650</v>
      </c>
      <c r="P23" s="109" t="str">
        <f t="shared" si="1"/>
        <v>kcal/kg</v>
      </c>
      <c r="Q23" s="109" t="s">
        <v>392</v>
      </c>
      <c r="R23" s="103">
        <f t="shared" si="2"/>
        <v>2.7842219999999997E-5</v>
      </c>
      <c r="S23" s="103" t="str">
        <f t="shared" si="3"/>
        <v>TJ/kg</v>
      </c>
      <c r="T23" s="103">
        <f t="shared" si="12"/>
        <v>2.6338740119999997</v>
      </c>
      <c r="U23" s="103">
        <f t="shared" si="4"/>
        <v>2.7842219999999997E-4</v>
      </c>
      <c r="V23" s="103">
        <f t="shared" si="4"/>
        <v>4.1763329999999996E-5</v>
      </c>
      <c r="W23" s="103" t="str">
        <f t="shared" si="5"/>
        <v>kg GEI/kg</v>
      </c>
      <c r="X23" s="103">
        <f t="shared" si="6"/>
        <v>2.6338740119999997</v>
      </c>
      <c r="Y23" s="103">
        <f t="shared" si="7"/>
        <v>7.795821599999999E-3</v>
      </c>
      <c r="Z23" s="103">
        <f t="shared" si="8"/>
        <v>1.1067282449999999E-2</v>
      </c>
      <c r="AA23" s="105" t="str">
        <f t="shared" si="9"/>
        <v>kg CO2e/kg</v>
      </c>
      <c r="AB23" s="123">
        <f t="shared" si="10"/>
        <v>2.6527371160499995E-3</v>
      </c>
      <c r="AC23" s="404" t="str">
        <f t="shared" si="11"/>
        <v>kgCO2e/gramos</v>
      </c>
      <c r="AD23" s="72" t="s">
        <v>386</v>
      </c>
      <c r="AE23" s="72" t="s">
        <v>387</v>
      </c>
      <c r="AF23" s="402" t="s">
        <v>102</v>
      </c>
    </row>
    <row r="24" spans="2:32">
      <c r="B24" s="72" t="s">
        <v>110</v>
      </c>
      <c r="C24" s="72" t="s">
        <v>395</v>
      </c>
      <c r="D24" s="72" t="s">
        <v>396</v>
      </c>
      <c r="E24" s="72" t="s">
        <v>397</v>
      </c>
      <c r="F24" s="96" t="s">
        <v>103</v>
      </c>
      <c r="G24" s="79" t="s">
        <v>383</v>
      </c>
      <c r="H24" s="344">
        <f>'1.1 V2 CH2 T2.4'!$F$8</f>
        <v>69300</v>
      </c>
      <c r="I24" s="345">
        <f>'1.1 V2 CH2 T2.4'!$I$8</f>
        <v>10</v>
      </c>
      <c r="J24" s="345">
        <f>'1.1 V2 CH2 T2.4'!$L$8</f>
        <v>0.6</v>
      </c>
      <c r="K24" s="72">
        <f>'1.1 y 1.2CUADROA2 - BNE 2020-21'!$C$16</f>
        <v>0.73</v>
      </c>
      <c r="L24" s="72" t="s">
        <v>384</v>
      </c>
      <c r="M24" s="73">
        <f>'1.1 y 1.2CUADROA2 - BNE 2020-21'!D$16</f>
        <v>11200</v>
      </c>
      <c r="N24" s="72" t="s">
        <v>400</v>
      </c>
      <c r="O24" s="102">
        <f t="shared" si="0"/>
        <v>10640</v>
      </c>
      <c r="P24" s="109" t="str">
        <f t="shared" si="1"/>
        <v>kcal/kg</v>
      </c>
      <c r="Q24" s="109" t="s">
        <v>385</v>
      </c>
      <c r="R24" s="103">
        <f t="shared" si="2"/>
        <v>3.2519712959999995E-2</v>
      </c>
      <c r="S24" s="103" t="str">
        <f t="shared" si="3"/>
        <v>TJ/m3</v>
      </c>
      <c r="T24" s="103">
        <f t="shared" si="12"/>
        <v>2253.6161081279997</v>
      </c>
      <c r="U24" s="103">
        <f t="shared" si="4"/>
        <v>0.32519712959999997</v>
      </c>
      <c r="V24" s="103">
        <f t="shared" si="4"/>
        <v>1.9511827775999996E-2</v>
      </c>
      <c r="W24" s="103" t="str">
        <f t="shared" si="5"/>
        <v>kg GEI/m3</v>
      </c>
      <c r="X24" s="103">
        <f t="shared" si="6"/>
        <v>2253.6161081279997</v>
      </c>
      <c r="Y24" s="103">
        <f t="shared" si="7"/>
        <v>9.1055196287999998</v>
      </c>
      <c r="Z24" s="103">
        <f t="shared" si="8"/>
        <v>5.1706343606399985</v>
      </c>
      <c r="AA24" s="105" t="str">
        <f t="shared" si="9"/>
        <v>kg CO2e/m3</v>
      </c>
      <c r="AB24" s="103">
        <f t="shared" si="10"/>
        <v>2267.8922621174397</v>
      </c>
      <c r="AC24" s="404" t="str">
        <f t="shared" si="11"/>
        <v>kgCO2e/metros cúbicos</v>
      </c>
      <c r="AD24" s="72" t="s">
        <v>386</v>
      </c>
      <c r="AE24" s="72" t="s">
        <v>387</v>
      </c>
      <c r="AF24" s="402" t="s">
        <v>102</v>
      </c>
    </row>
    <row r="25" spans="2:32">
      <c r="B25" s="72" t="s">
        <v>110</v>
      </c>
      <c r="C25" s="72" t="s">
        <v>395</v>
      </c>
      <c r="D25" s="72" t="s">
        <v>396</v>
      </c>
      <c r="E25" s="72" t="s">
        <v>397</v>
      </c>
      <c r="F25" s="96" t="s">
        <v>104</v>
      </c>
      <c r="G25" s="79" t="s">
        <v>383</v>
      </c>
      <c r="H25" s="344">
        <f>'1.1 V2 CH2 T2.4'!$F$8</f>
        <v>69300</v>
      </c>
      <c r="I25" s="345">
        <f>'1.1 V2 CH2 T2.4'!$I$8</f>
        <v>10</v>
      </c>
      <c r="J25" s="345">
        <f>'1.1 V2 CH2 T2.4'!$L$8</f>
        <v>0.6</v>
      </c>
      <c r="K25" s="72">
        <f>'1.1 y 1.2CUADROA2 - BNE 2020-21'!$C$16</f>
        <v>0.73</v>
      </c>
      <c r="L25" s="72" t="s">
        <v>384</v>
      </c>
      <c r="M25" s="73">
        <f>'1.1 y 1.2CUADROA2 - BNE 2020-21'!D$16</f>
        <v>11200</v>
      </c>
      <c r="N25" s="72" t="s">
        <v>400</v>
      </c>
      <c r="O25" s="102">
        <f t="shared" si="0"/>
        <v>10640</v>
      </c>
      <c r="P25" s="109" t="str">
        <f t="shared" si="1"/>
        <v>kcal/kg</v>
      </c>
      <c r="Q25" s="109" t="s">
        <v>385</v>
      </c>
      <c r="R25" s="103">
        <f t="shared" si="2"/>
        <v>3.2519712959999995E-2</v>
      </c>
      <c r="S25" s="103" t="str">
        <f t="shared" si="3"/>
        <v>TJ/m3</v>
      </c>
      <c r="T25" s="103">
        <f t="shared" si="12"/>
        <v>2253.6161081279997</v>
      </c>
      <c r="U25" s="103">
        <f t="shared" si="4"/>
        <v>0.32519712959999997</v>
      </c>
      <c r="V25" s="103">
        <f t="shared" si="4"/>
        <v>1.9511827775999996E-2</v>
      </c>
      <c r="W25" s="103" t="str">
        <f t="shared" si="5"/>
        <v>kg GEI/m3</v>
      </c>
      <c r="X25" s="103">
        <f t="shared" si="6"/>
        <v>2253.6161081279997</v>
      </c>
      <c r="Y25" s="103">
        <f t="shared" si="7"/>
        <v>9.1055196287999998</v>
      </c>
      <c r="Z25" s="103">
        <f t="shared" si="8"/>
        <v>5.1706343606399985</v>
      </c>
      <c r="AA25" s="105" t="str">
        <f t="shared" si="9"/>
        <v>kg CO2e/m3</v>
      </c>
      <c r="AB25" s="123">
        <f t="shared" si="10"/>
        <v>2.2678922621174396</v>
      </c>
      <c r="AC25" s="404" t="str">
        <f t="shared" si="11"/>
        <v>kgCO2e/litros</v>
      </c>
      <c r="AD25" s="72" t="s">
        <v>386</v>
      </c>
      <c r="AE25" s="72" t="s">
        <v>387</v>
      </c>
      <c r="AF25" s="402" t="s">
        <v>102</v>
      </c>
    </row>
    <row r="26" spans="2:32">
      <c r="B26" s="72" t="s">
        <v>111</v>
      </c>
      <c r="C26" s="72" t="s">
        <v>102</v>
      </c>
      <c r="D26" s="72" t="s">
        <v>111</v>
      </c>
      <c r="E26" s="72" t="s">
        <v>398</v>
      </c>
      <c r="F26" s="96" t="s">
        <v>106</v>
      </c>
      <c r="G26" s="79" t="s">
        <v>399</v>
      </c>
      <c r="H26" s="344">
        <f>'1.1 V2 CH2 T2.4'!$F$41</f>
        <v>260000</v>
      </c>
      <c r="I26" s="345">
        <f>'1.1 V2 CH2 T2.4'!$I$41</f>
        <v>5</v>
      </c>
      <c r="J26" s="345">
        <f>'1.1 V2 CH2 T2.4'!$L$41</f>
        <v>0.1</v>
      </c>
      <c r="K26" s="72"/>
      <c r="L26" s="72"/>
      <c r="M26" s="108">
        <f>2.47*1000/C$6</f>
        <v>589.94936466991498</v>
      </c>
      <c r="N26" s="72" t="s">
        <v>400</v>
      </c>
      <c r="O26" s="102">
        <f t="shared" si="0"/>
        <v>530.95442820292351</v>
      </c>
      <c r="P26" s="109" t="str">
        <f t="shared" si="1"/>
        <v>kcal/kg</v>
      </c>
      <c r="Q26" s="109" t="s">
        <v>392</v>
      </c>
      <c r="R26" s="103">
        <f t="shared" si="2"/>
        <v>2.2230000000000001E-6</v>
      </c>
      <c r="S26" s="103" t="str">
        <f t="shared" si="3"/>
        <v>TJ/kg</v>
      </c>
      <c r="T26" s="103">
        <f t="shared" si="12"/>
        <v>0.57798000000000005</v>
      </c>
      <c r="U26" s="103">
        <f t="shared" si="4"/>
        <v>1.1115000000000001E-5</v>
      </c>
      <c r="V26" s="103">
        <f t="shared" si="4"/>
        <v>2.2230000000000003E-7</v>
      </c>
      <c r="W26" s="103" t="str">
        <f t="shared" si="5"/>
        <v>kg GEI/kg</v>
      </c>
      <c r="X26" s="103">
        <f t="shared" si="6"/>
        <v>0.57798000000000005</v>
      </c>
      <c r="Y26" s="103">
        <f t="shared" si="7"/>
        <v>3.1122000000000002E-4</v>
      </c>
      <c r="Z26" s="103">
        <f t="shared" si="8"/>
        <v>5.8909500000000009E-5</v>
      </c>
      <c r="AA26" s="105" t="str">
        <f t="shared" si="9"/>
        <v>kg CO2e/kg</v>
      </c>
      <c r="AB26" s="103">
        <f t="shared" si="10"/>
        <v>578.35012949999998</v>
      </c>
      <c r="AC26" s="404" t="str">
        <f t="shared" si="11"/>
        <v>kgCO2e/toneladas</v>
      </c>
      <c r="AD26" s="72" t="s">
        <v>386</v>
      </c>
      <c r="AE26" s="72" t="s">
        <v>387</v>
      </c>
      <c r="AF26" s="72" t="s">
        <v>401</v>
      </c>
    </row>
    <row r="27" spans="2:32">
      <c r="B27" s="72" t="s">
        <v>111</v>
      </c>
      <c r="C27" s="72" t="s">
        <v>102</v>
      </c>
      <c r="D27" s="72" t="s">
        <v>111</v>
      </c>
      <c r="E27" s="72" t="s">
        <v>398</v>
      </c>
      <c r="F27" s="96" t="s">
        <v>107</v>
      </c>
      <c r="G27" s="79" t="s">
        <v>399</v>
      </c>
      <c r="H27" s="344">
        <f>'1.1 V2 CH2 T2.4'!$F$41</f>
        <v>260000</v>
      </c>
      <c r="I27" s="345">
        <f>'1.1 V2 CH2 T2.4'!$I$41</f>
        <v>5</v>
      </c>
      <c r="J27" s="345">
        <f>'1.1 V2 CH2 T2.4'!$L$41</f>
        <v>0.1</v>
      </c>
      <c r="K27" s="72"/>
      <c r="L27" s="72"/>
      <c r="M27" s="108">
        <f t="shared" ref="M27:M28" si="13">2.47*1000/C$6</f>
        <v>589.94936466991498</v>
      </c>
      <c r="N27" s="72" t="s">
        <v>400</v>
      </c>
      <c r="O27" s="102">
        <f t="shared" si="0"/>
        <v>530.95442820292351</v>
      </c>
      <c r="P27" s="109" t="str">
        <f t="shared" si="1"/>
        <v>kcal/kg</v>
      </c>
      <c r="Q27" s="109" t="s">
        <v>392</v>
      </c>
      <c r="R27" s="103">
        <f t="shared" si="2"/>
        <v>2.2230000000000001E-6</v>
      </c>
      <c r="S27" s="103" t="str">
        <f t="shared" si="3"/>
        <v>TJ/kg</v>
      </c>
      <c r="T27" s="103">
        <f t="shared" si="12"/>
        <v>0.57798000000000005</v>
      </c>
      <c r="U27" s="103">
        <f t="shared" si="4"/>
        <v>1.1115000000000001E-5</v>
      </c>
      <c r="V27" s="103">
        <f t="shared" si="4"/>
        <v>2.2230000000000003E-7</v>
      </c>
      <c r="W27" s="103" t="str">
        <f t="shared" si="5"/>
        <v>kg GEI/kg</v>
      </c>
      <c r="X27" s="103">
        <f t="shared" si="6"/>
        <v>0.57798000000000005</v>
      </c>
      <c r="Y27" s="328">
        <f t="shared" si="7"/>
        <v>3.1122000000000002E-4</v>
      </c>
      <c r="Z27" s="328">
        <f t="shared" si="8"/>
        <v>5.8909500000000009E-5</v>
      </c>
      <c r="AA27" s="105" t="str">
        <f t="shared" si="9"/>
        <v>kg CO2e/kg</v>
      </c>
      <c r="AB27" s="103">
        <f t="shared" si="10"/>
        <v>0.57835012949999998</v>
      </c>
      <c r="AC27" s="404" t="str">
        <f t="shared" si="11"/>
        <v>kgCO2e/kilogramos</v>
      </c>
      <c r="AD27" s="72" t="s">
        <v>386</v>
      </c>
      <c r="AE27" s="72" t="s">
        <v>387</v>
      </c>
      <c r="AF27" s="72" t="s">
        <v>401</v>
      </c>
    </row>
    <row r="28" spans="2:32">
      <c r="B28" s="72" t="s">
        <v>111</v>
      </c>
      <c r="C28" s="72" t="s">
        <v>102</v>
      </c>
      <c r="D28" s="72" t="s">
        <v>111</v>
      </c>
      <c r="E28" s="72" t="s">
        <v>398</v>
      </c>
      <c r="F28" s="96" t="s">
        <v>108</v>
      </c>
      <c r="G28" s="79" t="s">
        <v>399</v>
      </c>
      <c r="H28" s="344">
        <f>'1.1 V2 CH2 T2.4'!$F$41</f>
        <v>260000</v>
      </c>
      <c r="I28" s="345">
        <f>'1.1 V2 CH2 T2.4'!$I$41</f>
        <v>5</v>
      </c>
      <c r="J28" s="345">
        <f>'1.1 V2 CH2 T2.4'!$L$41</f>
        <v>0.1</v>
      </c>
      <c r="K28" s="72"/>
      <c r="L28" s="72"/>
      <c r="M28" s="108">
        <f t="shared" si="13"/>
        <v>589.94936466991498</v>
      </c>
      <c r="N28" s="72" t="s">
        <v>400</v>
      </c>
      <c r="O28" s="102">
        <f t="shared" si="0"/>
        <v>530.95442820292351</v>
      </c>
      <c r="P28" s="109" t="str">
        <f t="shared" si="1"/>
        <v>kcal/kg</v>
      </c>
      <c r="Q28" s="109" t="s">
        <v>392</v>
      </c>
      <c r="R28" s="103">
        <f t="shared" si="2"/>
        <v>2.2230000000000001E-6</v>
      </c>
      <c r="S28" s="103" t="str">
        <f t="shared" si="3"/>
        <v>TJ/kg</v>
      </c>
      <c r="T28" s="103">
        <f t="shared" si="12"/>
        <v>0.57798000000000005</v>
      </c>
      <c r="U28" s="103">
        <f t="shared" si="4"/>
        <v>1.1115000000000001E-5</v>
      </c>
      <c r="V28" s="103">
        <f t="shared" si="4"/>
        <v>2.2230000000000003E-7</v>
      </c>
      <c r="W28" s="103" t="str">
        <f t="shared" si="5"/>
        <v>kg GEI/kg</v>
      </c>
      <c r="X28" s="103">
        <f t="shared" si="6"/>
        <v>0.57798000000000005</v>
      </c>
      <c r="Y28" s="103">
        <f t="shared" si="7"/>
        <v>3.1122000000000002E-4</v>
      </c>
      <c r="Z28" s="103">
        <f t="shared" si="8"/>
        <v>5.8909500000000009E-5</v>
      </c>
      <c r="AA28" s="105" t="str">
        <f t="shared" si="9"/>
        <v>kg CO2e/kg</v>
      </c>
      <c r="AB28" s="123">
        <f t="shared" si="10"/>
        <v>5.7835012949999996E-4</v>
      </c>
      <c r="AC28" s="404" t="str">
        <f t="shared" si="11"/>
        <v>kgCO2e/gramos</v>
      </c>
      <c r="AD28" s="72" t="s">
        <v>386</v>
      </c>
      <c r="AE28" s="72" t="s">
        <v>387</v>
      </c>
      <c r="AF28" s="72" t="s">
        <v>401</v>
      </c>
    </row>
    <row r="29" spans="2:32">
      <c r="B29" s="72" t="s">
        <v>112</v>
      </c>
      <c r="C29" s="72" t="s">
        <v>402</v>
      </c>
      <c r="D29" s="72" t="s">
        <v>115</v>
      </c>
      <c r="E29" s="72" t="s">
        <v>403</v>
      </c>
      <c r="F29" s="96" t="s">
        <v>103</v>
      </c>
      <c r="G29" s="79" t="s">
        <v>399</v>
      </c>
      <c r="H29" s="344">
        <f>'1.1 V2 CH2 T2.4'!$F$43</f>
        <v>56100</v>
      </c>
      <c r="I29" s="345">
        <f>'1.1 V2 CH2 T2.4'!$I$43</f>
        <v>5</v>
      </c>
      <c r="J29" s="345">
        <f>'1.1 V2 CH2 T2.4'!$L$43</f>
        <v>0.1</v>
      </c>
      <c r="K29" s="72"/>
      <c r="L29" s="72"/>
      <c r="M29" s="73">
        <f>'1.1 y 1.2CUADROA2 - BNE 2020-21'!D$21</f>
        <v>9341</v>
      </c>
      <c r="N29" s="72" t="s">
        <v>479</v>
      </c>
      <c r="O29" s="102">
        <f>IF(G29="Gaseoso", M29*$C$9, M29*$C$8)</f>
        <v>8406.9</v>
      </c>
      <c r="P29" s="109" t="str">
        <f>N29</f>
        <v>kcal/m3</v>
      </c>
      <c r="Q29" s="109" t="s">
        <v>392</v>
      </c>
      <c r="R29" s="103">
        <f t="shared" si="2"/>
        <v>3.5198008920000004E-5</v>
      </c>
      <c r="S29" s="103" t="str">
        <f>IF(Q29="Sí","TJ/m3", IF(N29="kcal/m3", "TJ/m3","TJ/kg"))</f>
        <v>TJ/m3</v>
      </c>
      <c r="T29" s="103">
        <f t="shared" si="12"/>
        <v>1.9746083004120003</v>
      </c>
      <c r="U29" s="103">
        <f t="shared" si="12"/>
        <v>1.7599004460000002E-4</v>
      </c>
      <c r="V29" s="103">
        <f t="shared" si="12"/>
        <v>3.5198008920000004E-6</v>
      </c>
      <c r="W29" s="103" t="str">
        <f>IF(S29="TJ/m3", "kg GEI/m3", "kg GEI/kg")</f>
        <v>kg GEI/m3</v>
      </c>
      <c r="X29" s="103">
        <f>$C$3*T29</f>
        <v>1.9746083004120003</v>
      </c>
      <c r="Y29" s="103">
        <f>U29*$C$4</f>
        <v>4.9277212488000009E-3</v>
      </c>
      <c r="Z29" s="103">
        <f>V29*$C$5</f>
        <v>9.3274723638000015E-4</v>
      </c>
      <c r="AA29" s="105" t="str">
        <f>IF(S29="TJ/m3", "kg CO2e/m3", "kg CO2e/kg")</f>
        <v>kg CO2e/m3</v>
      </c>
      <c r="AB29" s="103">
        <f t="shared" si="10"/>
        <v>1.9804687688971803</v>
      </c>
      <c r="AC29" s="404" t="str">
        <f t="shared" si="11"/>
        <v>kgCO2e/metros cúbicos</v>
      </c>
      <c r="AD29" s="72" t="s">
        <v>386</v>
      </c>
      <c r="AE29" s="72" t="s">
        <v>387</v>
      </c>
      <c r="AF29" s="402" t="s">
        <v>102</v>
      </c>
    </row>
    <row r="30" spans="2:32">
      <c r="B30" s="72" t="s">
        <v>112</v>
      </c>
      <c r="C30" s="72" t="s">
        <v>402</v>
      </c>
      <c r="D30" s="72" t="s">
        <v>115</v>
      </c>
      <c r="E30" s="72" t="s">
        <v>403</v>
      </c>
      <c r="F30" s="96" t="s">
        <v>106</v>
      </c>
      <c r="G30" s="79" t="s">
        <v>399</v>
      </c>
      <c r="H30" s="344">
        <f>'1.1 V2 CH2 T2.4'!$F$43</f>
        <v>56100</v>
      </c>
      <c r="I30" s="345">
        <f>'1.1 V2 CH2 T2.4'!$I$43</f>
        <v>5</v>
      </c>
      <c r="J30" s="345">
        <f>'1.1 V2 CH2 T2.4'!$L$43</f>
        <v>0.1</v>
      </c>
      <c r="K30" s="124">
        <f>0.795/1000</f>
        <v>7.9500000000000003E-4</v>
      </c>
      <c r="L30" s="108" t="s">
        <v>384</v>
      </c>
      <c r="M30" s="73">
        <f>'1.1 y 1.2CUADROA2 - BNE 2020-21'!D$21</f>
        <v>9341</v>
      </c>
      <c r="N30" s="72" t="s">
        <v>479</v>
      </c>
      <c r="O30" s="102">
        <f t="shared" ref="O30:O48" si="14">IF(G30="Gaseoso", M30*$C$9, M30*$C$8)</f>
        <v>8406.9</v>
      </c>
      <c r="P30" s="109" t="str">
        <f t="shared" ref="P30:P48" si="15">N30</f>
        <v>kcal/m3</v>
      </c>
      <c r="Q30" s="403" t="s">
        <v>392</v>
      </c>
      <c r="R30" s="103">
        <f t="shared" si="2"/>
        <v>3.5198008920000004E-5</v>
      </c>
      <c r="S30" s="103" t="str">
        <f>IF(Q30="Sí","TJ/m3", IF(N30="kcal/m3", "TJ/m3","TJ/kg"))</f>
        <v>TJ/m3</v>
      </c>
      <c r="T30" s="103">
        <f t="shared" si="12"/>
        <v>1.9746083004120003</v>
      </c>
      <c r="U30" s="103">
        <f t="shared" si="12"/>
        <v>1.7599004460000002E-4</v>
      </c>
      <c r="V30" s="103">
        <f t="shared" si="12"/>
        <v>3.5198008920000004E-6</v>
      </c>
      <c r="W30" s="103" t="str">
        <f t="shared" ref="W30:W48" si="16">IF(S30="TJ/m3", "kg GEI/m3", "kg GEI/kg")</f>
        <v>kg GEI/m3</v>
      </c>
      <c r="X30" s="103">
        <f t="shared" ref="X30:X48" si="17">$C$3*T30</f>
        <v>1.9746083004120003</v>
      </c>
      <c r="Y30" s="103">
        <f t="shared" ref="Y30:Y48" si="18">U30*$C$4</f>
        <v>4.9277212488000009E-3</v>
      </c>
      <c r="Z30" s="103">
        <f t="shared" ref="Z30:Z48" si="19">V30*$C$5</f>
        <v>9.3274723638000015E-4</v>
      </c>
      <c r="AA30" s="105" t="str">
        <f t="shared" ref="AA30:AA48" si="20">IF(S30="TJ/m3", "kg CO2e/m3", "kg CO2e/kg")</f>
        <v>kg CO2e/m3</v>
      </c>
      <c r="AB30" s="103">
        <f t="shared" si="10"/>
        <v>2491.1556841473962</v>
      </c>
      <c r="AC30" s="404" t="str">
        <f t="shared" si="11"/>
        <v>kgCO2e/toneladas</v>
      </c>
      <c r="AD30" s="72" t="s">
        <v>386</v>
      </c>
      <c r="AE30" s="72" t="s">
        <v>387</v>
      </c>
      <c r="AF30" s="72" t="s">
        <v>404</v>
      </c>
    </row>
    <row r="31" spans="2:32">
      <c r="B31" s="72" t="s">
        <v>112</v>
      </c>
      <c r="C31" s="72" t="s">
        <v>402</v>
      </c>
      <c r="D31" s="72" t="s">
        <v>115</v>
      </c>
      <c r="E31" s="72" t="s">
        <v>403</v>
      </c>
      <c r="F31" s="96" t="s">
        <v>107</v>
      </c>
      <c r="G31" s="79" t="s">
        <v>399</v>
      </c>
      <c r="H31" s="344">
        <f>'1.1 V2 CH2 T2.4'!$F$43</f>
        <v>56100</v>
      </c>
      <c r="I31" s="345">
        <f>'1.1 V2 CH2 T2.4'!$I$43</f>
        <v>5</v>
      </c>
      <c r="J31" s="345">
        <f>'1.1 V2 CH2 T2.4'!$L$43</f>
        <v>0.1</v>
      </c>
      <c r="K31" s="124">
        <f t="shared" ref="K31:K32" si="21">0.795/1000</f>
        <v>7.9500000000000003E-4</v>
      </c>
      <c r="L31" s="108" t="s">
        <v>384</v>
      </c>
      <c r="M31" s="73">
        <f>'1.1 y 1.2CUADROA2 - BNE 2020-21'!D$21</f>
        <v>9341</v>
      </c>
      <c r="N31" s="72" t="s">
        <v>479</v>
      </c>
      <c r="O31" s="102">
        <f t="shared" si="14"/>
        <v>8406.9</v>
      </c>
      <c r="P31" s="109" t="str">
        <f t="shared" si="15"/>
        <v>kcal/m3</v>
      </c>
      <c r="Q31" s="403" t="s">
        <v>392</v>
      </c>
      <c r="R31" s="103">
        <f t="shared" si="2"/>
        <v>3.5198008920000004E-5</v>
      </c>
      <c r="S31" s="103" t="str">
        <f>IF(Q31="Sí","TJ/m3", IF(N31="kcal/m3", "TJ/m3","TJ/kg"))</f>
        <v>TJ/m3</v>
      </c>
      <c r="T31" s="103">
        <f t="shared" si="12"/>
        <v>1.9746083004120003</v>
      </c>
      <c r="U31" s="103">
        <f t="shared" si="12"/>
        <v>1.7599004460000002E-4</v>
      </c>
      <c r="V31" s="103">
        <f t="shared" si="12"/>
        <v>3.5198008920000004E-6</v>
      </c>
      <c r="W31" s="103" t="str">
        <f t="shared" si="16"/>
        <v>kg GEI/m3</v>
      </c>
      <c r="X31" s="103">
        <f t="shared" si="17"/>
        <v>1.9746083004120003</v>
      </c>
      <c r="Y31" s="103">
        <f t="shared" si="18"/>
        <v>4.9277212488000009E-3</v>
      </c>
      <c r="Z31" s="103">
        <f t="shared" si="19"/>
        <v>9.3274723638000015E-4</v>
      </c>
      <c r="AA31" s="105" t="str">
        <f t="shared" si="20"/>
        <v>kg CO2e/m3</v>
      </c>
      <c r="AB31" s="103">
        <f t="shared" si="10"/>
        <v>2.4911556841473965</v>
      </c>
      <c r="AC31" s="404" t="str">
        <f t="shared" si="11"/>
        <v>kgCO2e/kilogramos</v>
      </c>
      <c r="AD31" s="72" t="s">
        <v>386</v>
      </c>
      <c r="AE31" s="72" t="s">
        <v>387</v>
      </c>
      <c r="AF31" s="72" t="s">
        <v>404</v>
      </c>
    </row>
    <row r="32" spans="2:32">
      <c r="B32" s="72" t="s">
        <v>112</v>
      </c>
      <c r="C32" s="72" t="s">
        <v>402</v>
      </c>
      <c r="D32" s="72" t="s">
        <v>115</v>
      </c>
      <c r="E32" s="72" t="s">
        <v>403</v>
      </c>
      <c r="F32" s="96" t="s">
        <v>108</v>
      </c>
      <c r="G32" s="79" t="s">
        <v>399</v>
      </c>
      <c r="H32" s="344">
        <f>'1.1 V2 CH2 T2.4'!$F$43</f>
        <v>56100</v>
      </c>
      <c r="I32" s="345">
        <f>'1.1 V2 CH2 T2.4'!$I$43</f>
        <v>5</v>
      </c>
      <c r="J32" s="345">
        <f>'1.1 V2 CH2 T2.4'!$L$43</f>
        <v>0.1</v>
      </c>
      <c r="K32" s="124">
        <f t="shared" si="21"/>
        <v>7.9500000000000003E-4</v>
      </c>
      <c r="L32" s="108" t="s">
        <v>384</v>
      </c>
      <c r="M32" s="73">
        <f>'1.1 y 1.2CUADROA2 - BNE 2020-21'!D$21</f>
        <v>9341</v>
      </c>
      <c r="N32" s="72" t="s">
        <v>479</v>
      </c>
      <c r="O32" s="102">
        <f t="shared" si="14"/>
        <v>8406.9</v>
      </c>
      <c r="P32" s="109" t="str">
        <f t="shared" si="15"/>
        <v>kcal/m3</v>
      </c>
      <c r="Q32" s="403" t="s">
        <v>392</v>
      </c>
      <c r="R32" s="103">
        <f t="shared" si="2"/>
        <v>3.5198008920000004E-5</v>
      </c>
      <c r="S32" s="103" t="str">
        <f t="shared" ref="S32:S48" si="22">IF(Q32="Sí","TJ/m3", IF(N32="kcal/m3", "TJ/m3","TJ/kg"))</f>
        <v>TJ/m3</v>
      </c>
      <c r="T32" s="103">
        <f t="shared" si="12"/>
        <v>1.9746083004120003</v>
      </c>
      <c r="U32" s="103">
        <f t="shared" si="12"/>
        <v>1.7599004460000002E-4</v>
      </c>
      <c r="V32" s="103">
        <f t="shared" si="12"/>
        <v>3.5198008920000004E-6</v>
      </c>
      <c r="W32" s="103" t="str">
        <f t="shared" si="16"/>
        <v>kg GEI/m3</v>
      </c>
      <c r="X32" s="103">
        <f t="shared" si="17"/>
        <v>1.9746083004120003</v>
      </c>
      <c r="Y32" s="103">
        <f t="shared" si="18"/>
        <v>4.9277212488000009E-3</v>
      </c>
      <c r="Z32" s="103">
        <f t="shared" si="19"/>
        <v>9.3274723638000015E-4</v>
      </c>
      <c r="AA32" s="105" t="str">
        <f t="shared" si="20"/>
        <v>kg CO2e/m3</v>
      </c>
      <c r="AB32" s="123">
        <f t="shared" si="10"/>
        <v>2.4911556841473964E-3</v>
      </c>
      <c r="AC32" s="404" t="str">
        <f t="shared" si="11"/>
        <v>kgCO2e/gramos</v>
      </c>
      <c r="AD32" s="72" t="s">
        <v>386</v>
      </c>
      <c r="AE32" s="72" t="s">
        <v>387</v>
      </c>
      <c r="AF32" s="72" t="s">
        <v>404</v>
      </c>
    </row>
    <row r="33" spans="2:32">
      <c r="B33" s="72" t="s">
        <v>113</v>
      </c>
      <c r="C33" s="72" t="s">
        <v>405</v>
      </c>
      <c r="D33" s="72" t="s">
        <v>113</v>
      </c>
      <c r="E33" s="72" t="s">
        <v>406</v>
      </c>
      <c r="F33" s="96" t="s">
        <v>103</v>
      </c>
      <c r="G33" s="79" t="s">
        <v>383</v>
      </c>
      <c r="H33" s="346">
        <f>'1.1 V2 CH2 T2.4'!$F$23</f>
        <v>57600</v>
      </c>
      <c r="I33" s="347">
        <f>'1.1 V2 CH2 T2.4'!$I$23</f>
        <v>5</v>
      </c>
      <c r="J33" s="347">
        <f>'1.1 V2 CH2 T2.4'!$L$23</f>
        <v>0.1</v>
      </c>
      <c r="K33" s="72"/>
      <c r="L33" s="72"/>
      <c r="M33" s="73">
        <f>'1.1 y 1.2CUADROA2 - BNE 2020-21'!D$27</f>
        <v>4260</v>
      </c>
      <c r="N33" s="72" t="s">
        <v>479</v>
      </c>
      <c r="O33" s="102">
        <f t="shared" si="14"/>
        <v>4047</v>
      </c>
      <c r="P33" s="109" t="str">
        <f t="shared" si="15"/>
        <v>kcal/m3</v>
      </c>
      <c r="Q33" s="109" t="s">
        <v>392</v>
      </c>
      <c r="R33" s="103">
        <f t="shared" si="2"/>
        <v>1.6943979599999998E-5</v>
      </c>
      <c r="S33" s="103" t="str">
        <f t="shared" si="22"/>
        <v>TJ/m3</v>
      </c>
      <c r="T33" s="103">
        <f t="shared" ref="T33:V47" si="23">H33*$R33</f>
        <v>0.97597322495999983</v>
      </c>
      <c r="U33" s="103">
        <f t="shared" si="23"/>
        <v>8.4719897999999989E-5</v>
      </c>
      <c r="V33" s="103">
        <f t="shared" si="23"/>
        <v>1.6943979599999998E-6</v>
      </c>
      <c r="W33" s="103" t="str">
        <f t="shared" si="16"/>
        <v>kg GEI/m3</v>
      </c>
      <c r="X33" s="103">
        <f t="shared" si="17"/>
        <v>0.97597322495999983</v>
      </c>
      <c r="Y33" s="328">
        <f t="shared" si="18"/>
        <v>2.3721571439999996E-3</v>
      </c>
      <c r="Z33" s="328">
        <f t="shared" si="19"/>
        <v>4.4901545939999996E-4</v>
      </c>
      <c r="AA33" s="105" t="str">
        <f t="shared" si="20"/>
        <v>kg CO2e/m3</v>
      </c>
      <c r="AB33" s="103">
        <f t="shared" si="10"/>
        <v>0.97879439756339981</v>
      </c>
      <c r="AC33" s="404" t="str">
        <f t="shared" si="11"/>
        <v>kgCO2e/metros cúbicos</v>
      </c>
      <c r="AD33" s="72" t="s">
        <v>386</v>
      </c>
      <c r="AE33" s="72" t="s">
        <v>387</v>
      </c>
      <c r="AF33" s="402" t="s">
        <v>102</v>
      </c>
    </row>
    <row r="34" spans="2:32">
      <c r="B34" s="72" t="s">
        <v>113</v>
      </c>
      <c r="C34" s="72" t="s">
        <v>405</v>
      </c>
      <c r="D34" s="72" t="s">
        <v>113</v>
      </c>
      <c r="E34" s="72" t="s">
        <v>406</v>
      </c>
      <c r="F34" s="96" t="s">
        <v>104</v>
      </c>
      <c r="G34" s="79" t="s">
        <v>383</v>
      </c>
      <c r="H34" s="346">
        <f>'1.1 V2 CH2 T2.4'!$F$23</f>
        <v>57600</v>
      </c>
      <c r="I34" s="347">
        <f>'1.1 V2 CH2 T2.4'!$I$23</f>
        <v>5</v>
      </c>
      <c r="J34" s="347">
        <f>'1.1 V2 CH2 T2.4'!$L$23</f>
        <v>0.1</v>
      </c>
      <c r="K34" s="72"/>
      <c r="L34" s="72"/>
      <c r="M34" s="73">
        <f>'1.1 y 1.2CUADROA2 - BNE 2020-21'!D$27</f>
        <v>4260</v>
      </c>
      <c r="N34" s="72" t="s">
        <v>479</v>
      </c>
      <c r="O34" s="102">
        <f t="shared" si="14"/>
        <v>4047</v>
      </c>
      <c r="P34" s="109" t="str">
        <f t="shared" si="15"/>
        <v>kcal/m3</v>
      </c>
      <c r="Q34" s="109" t="s">
        <v>392</v>
      </c>
      <c r="R34" s="103">
        <f t="shared" si="2"/>
        <v>1.6943979599999998E-5</v>
      </c>
      <c r="S34" s="103" t="str">
        <f t="shared" si="22"/>
        <v>TJ/m3</v>
      </c>
      <c r="T34" s="103">
        <f t="shared" si="23"/>
        <v>0.97597322495999983</v>
      </c>
      <c r="U34" s="103">
        <f t="shared" si="23"/>
        <v>8.4719897999999989E-5</v>
      </c>
      <c r="V34" s="103">
        <f t="shared" si="23"/>
        <v>1.6943979599999998E-6</v>
      </c>
      <c r="W34" s="103" t="str">
        <f t="shared" si="16"/>
        <v>kg GEI/m3</v>
      </c>
      <c r="X34" s="103">
        <f t="shared" si="17"/>
        <v>0.97597322495999983</v>
      </c>
      <c r="Y34" s="103">
        <f t="shared" si="18"/>
        <v>2.3721571439999996E-3</v>
      </c>
      <c r="Z34" s="103">
        <f t="shared" si="19"/>
        <v>4.4901545939999996E-4</v>
      </c>
      <c r="AA34" s="105" t="str">
        <f t="shared" si="20"/>
        <v>kg CO2e/m3</v>
      </c>
      <c r="AB34" s="123">
        <f t="shared" si="10"/>
        <v>9.787943975633998E-4</v>
      </c>
      <c r="AC34" s="404" t="str">
        <f t="shared" si="11"/>
        <v>kgCO2e/litros</v>
      </c>
      <c r="AD34" s="72" t="s">
        <v>386</v>
      </c>
      <c r="AE34" s="72" t="s">
        <v>387</v>
      </c>
      <c r="AF34" s="402" t="s">
        <v>102</v>
      </c>
    </row>
    <row r="35" spans="2:32">
      <c r="B35" s="72" t="s">
        <v>114</v>
      </c>
      <c r="C35" s="72" t="s">
        <v>407</v>
      </c>
      <c r="D35" s="72" t="s">
        <v>408</v>
      </c>
      <c r="E35" s="72" t="s">
        <v>409</v>
      </c>
      <c r="F35" s="96" t="s">
        <v>103</v>
      </c>
      <c r="G35" s="79" t="s">
        <v>399</v>
      </c>
      <c r="H35" s="346">
        <f>'1.1 V2 CH2 T2.4'!$F$16</f>
        <v>63100</v>
      </c>
      <c r="I35" s="347">
        <f>'1.1 V2 CH2 T2.4'!$I$16</f>
        <v>5</v>
      </c>
      <c r="J35" s="347">
        <f>'1.1 V2 CH2 T2.4'!$L$16</f>
        <v>0.1</v>
      </c>
      <c r="K35" s="72">
        <f>'1.1 y 1.2CUADROA2 - BNE 2020-21'!$C$15</f>
        <v>0.55000000000000004</v>
      </c>
      <c r="L35" s="72" t="s">
        <v>384</v>
      </c>
      <c r="M35" s="73">
        <f>'1.1 y 1.2CUADROA2 - BNE 2020-21'!D$15</f>
        <v>12100</v>
      </c>
      <c r="N35" s="72" t="s">
        <v>400</v>
      </c>
      <c r="O35" s="102">
        <f t="shared" si="14"/>
        <v>10890</v>
      </c>
      <c r="P35" s="109" t="str">
        <f t="shared" si="15"/>
        <v>kcal/kg</v>
      </c>
      <c r="Q35" s="109" t="s">
        <v>385</v>
      </c>
      <c r="R35" s="103">
        <f t="shared" si="2"/>
        <v>2.5076838600000002E-2</v>
      </c>
      <c r="S35" s="103" t="str">
        <f t="shared" si="22"/>
        <v>TJ/m3</v>
      </c>
      <c r="T35" s="103">
        <f t="shared" si="23"/>
        <v>1582.3485156600002</v>
      </c>
      <c r="U35" s="103">
        <f t="shared" si="23"/>
        <v>0.125384193</v>
      </c>
      <c r="V35" s="103">
        <f t="shared" si="23"/>
        <v>2.5076838600000002E-3</v>
      </c>
      <c r="W35" s="103" t="str">
        <f t="shared" si="16"/>
        <v>kg GEI/m3</v>
      </c>
      <c r="X35" s="103">
        <f t="shared" si="17"/>
        <v>1582.3485156600002</v>
      </c>
      <c r="Y35" s="103">
        <f t="shared" si="18"/>
        <v>3.510757404</v>
      </c>
      <c r="Z35" s="103">
        <f t="shared" si="19"/>
        <v>0.66453622290000003</v>
      </c>
      <c r="AA35" s="105" t="str">
        <f t="shared" si="20"/>
        <v>kg CO2e/m3</v>
      </c>
      <c r="AB35" s="103">
        <f t="shared" si="10"/>
        <v>1586.5238092869004</v>
      </c>
      <c r="AC35" s="404" t="str">
        <f t="shared" si="11"/>
        <v>kgCO2e/metros cúbicos</v>
      </c>
      <c r="AD35" s="72" t="s">
        <v>386</v>
      </c>
      <c r="AE35" s="72" t="s">
        <v>387</v>
      </c>
      <c r="AF35" s="402" t="s">
        <v>102</v>
      </c>
    </row>
    <row r="36" spans="2:32">
      <c r="B36" s="72" t="s">
        <v>114</v>
      </c>
      <c r="C36" s="72" t="s">
        <v>407</v>
      </c>
      <c r="D36" s="72" t="s">
        <v>408</v>
      </c>
      <c r="E36" s="72" t="s">
        <v>409</v>
      </c>
      <c r="F36" s="96" t="s">
        <v>104</v>
      </c>
      <c r="G36" s="79" t="s">
        <v>399</v>
      </c>
      <c r="H36" s="346">
        <f>'1.1 V2 CH2 T2.4'!$F$16</f>
        <v>63100</v>
      </c>
      <c r="I36" s="347">
        <f>'1.1 V2 CH2 T2.4'!$I$16</f>
        <v>5</v>
      </c>
      <c r="J36" s="347">
        <f>'1.1 V2 CH2 T2.4'!$L$16</f>
        <v>0.1</v>
      </c>
      <c r="K36" s="72">
        <f>'1.1 y 1.2CUADROA2 - BNE 2020-21'!$C$15</f>
        <v>0.55000000000000004</v>
      </c>
      <c r="L36" s="72" t="s">
        <v>384</v>
      </c>
      <c r="M36" s="73">
        <f>'1.1 y 1.2CUADROA2 - BNE 2020-21'!D$15</f>
        <v>12100</v>
      </c>
      <c r="N36" s="72" t="s">
        <v>400</v>
      </c>
      <c r="O36" s="102">
        <f t="shared" si="14"/>
        <v>10890</v>
      </c>
      <c r="P36" s="109" t="str">
        <f t="shared" si="15"/>
        <v>kcal/kg</v>
      </c>
      <c r="Q36" s="109" t="s">
        <v>385</v>
      </c>
      <c r="R36" s="103">
        <f t="shared" si="2"/>
        <v>2.5076838600000002E-2</v>
      </c>
      <c r="S36" s="103" t="str">
        <f t="shared" si="22"/>
        <v>TJ/m3</v>
      </c>
      <c r="T36" s="103">
        <f t="shared" si="23"/>
        <v>1582.3485156600002</v>
      </c>
      <c r="U36" s="103">
        <f t="shared" si="23"/>
        <v>0.125384193</v>
      </c>
      <c r="V36" s="103">
        <f t="shared" si="23"/>
        <v>2.5076838600000002E-3</v>
      </c>
      <c r="W36" s="103" t="str">
        <f t="shared" si="16"/>
        <v>kg GEI/m3</v>
      </c>
      <c r="X36" s="103">
        <f t="shared" si="17"/>
        <v>1582.3485156600002</v>
      </c>
      <c r="Y36" s="103">
        <f t="shared" si="18"/>
        <v>3.510757404</v>
      </c>
      <c r="Z36" s="103">
        <f t="shared" si="19"/>
        <v>0.66453622290000003</v>
      </c>
      <c r="AA36" s="105" t="str">
        <f t="shared" si="20"/>
        <v>kg CO2e/m3</v>
      </c>
      <c r="AB36" s="123">
        <f t="shared" si="10"/>
        <v>1.5865238092869003</v>
      </c>
      <c r="AC36" s="404" t="str">
        <f t="shared" si="11"/>
        <v>kgCO2e/litros</v>
      </c>
      <c r="AD36" s="72" t="s">
        <v>386</v>
      </c>
      <c r="AE36" s="72" t="s">
        <v>387</v>
      </c>
      <c r="AF36" s="402" t="s">
        <v>102</v>
      </c>
    </row>
    <row r="37" spans="2:32">
      <c r="B37" s="72" t="s">
        <v>115</v>
      </c>
      <c r="C37" s="72" t="s">
        <v>402</v>
      </c>
      <c r="D37" s="72" t="s">
        <v>115</v>
      </c>
      <c r="E37" s="72" t="s">
        <v>403</v>
      </c>
      <c r="F37" s="96" t="s">
        <v>103</v>
      </c>
      <c r="G37" s="79" t="s">
        <v>399</v>
      </c>
      <c r="H37" s="350">
        <f>'1.1 V2 CH2 T2.4'!$F$43</f>
        <v>56100</v>
      </c>
      <c r="I37" s="351">
        <f>'1.1 V2 CH2 T2.4'!$I$43</f>
        <v>5</v>
      </c>
      <c r="J37" s="351">
        <f>'1.1 V2 CH2 T2.4'!$L$43</f>
        <v>0.1</v>
      </c>
      <c r="K37" s="124">
        <f>0.795/1000</f>
        <v>7.9500000000000003E-4</v>
      </c>
      <c r="L37" s="108" t="s">
        <v>384</v>
      </c>
      <c r="M37" s="73">
        <f>'1.1 y 1.2CUADROA2 - BNE 2020-21'!D$21</f>
        <v>9341</v>
      </c>
      <c r="N37" s="72" t="s">
        <v>479</v>
      </c>
      <c r="O37" s="102">
        <f t="shared" si="14"/>
        <v>8406.9</v>
      </c>
      <c r="P37" s="109" t="str">
        <f t="shared" si="15"/>
        <v>kcal/m3</v>
      </c>
      <c r="Q37" s="109" t="s">
        <v>392</v>
      </c>
      <c r="R37" s="103">
        <f t="shared" si="2"/>
        <v>3.5198008920000004E-5</v>
      </c>
      <c r="S37" s="103" t="str">
        <f t="shared" si="22"/>
        <v>TJ/m3</v>
      </c>
      <c r="T37" s="103">
        <f t="shared" si="23"/>
        <v>1.9746083004120003</v>
      </c>
      <c r="U37" s="103">
        <f t="shared" si="23"/>
        <v>1.7599004460000002E-4</v>
      </c>
      <c r="V37" s="103">
        <f t="shared" si="23"/>
        <v>3.5198008920000004E-6</v>
      </c>
      <c r="W37" s="103" t="str">
        <f t="shared" si="16"/>
        <v>kg GEI/m3</v>
      </c>
      <c r="X37" s="103">
        <f t="shared" si="17"/>
        <v>1.9746083004120003</v>
      </c>
      <c r="Y37" s="104">
        <f t="shared" si="18"/>
        <v>4.9277212488000009E-3</v>
      </c>
      <c r="Z37" s="104">
        <f t="shared" si="19"/>
        <v>9.3274723638000015E-4</v>
      </c>
      <c r="AA37" s="105" t="str">
        <f t="shared" si="20"/>
        <v>kg CO2e/m3</v>
      </c>
      <c r="AB37" s="103">
        <f t="shared" si="10"/>
        <v>1.9804687688971803</v>
      </c>
      <c r="AC37" s="404" t="str">
        <f t="shared" si="11"/>
        <v>kgCO2e/metros cúbicos</v>
      </c>
      <c r="AD37" s="72" t="s">
        <v>386</v>
      </c>
      <c r="AE37" s="72" t="s">
        <v>387</v>
      </c>
      <c r="AF37" s="72" t="s">
        <v>404</v>
      </c>
    </row>
    <row r="38" spans="2:32">
      <c r="B38" s="72" t="s">
        <v>116</v>
      </c>
      <c r="C38" s="72" t="s">
        <v>116</v>
      </c>
      <c r="D38" s="72" t="s">
        <v>410</v>
      </c>
      <c r="E38" s="72" t="s">
        <v>411</v>
      </c>
      <c r="F38" s="96" t="s">
        <v>103</v>
      </c>
      <c r="G38" s="79" t="s">
        <v>383</v>
      </c>
      <c r="H38" s="350">
        <f>'1.1 V2 CH2 T2.4'!$F$12</f>
        <v>71900</v>
      </c>
      <c r="I38" s="351">
        <f>'1.1 V2 CH2 T2.4'!$I$12</f>
        <v>10</v>
      </c>
      <c r="J38" s="351">
        <f>'1.1 V2 CH2 T2.4'!$L$12</f>
        <v>0.6</v>
      </c>
      <c r="K38" s="72">
        <f>'1.1 y 1.2CUADROA2 - BNE 2020-21'!$C$19</f>
        <v>0.81</v>
      </c>
      <c r="L38" s="72" t="s">
        <v>384</v>
      </c>
      <c r="M38" s="73">
        <f>'1.1 y 1.2CUADROA2 - BNE 2020-21'!D$19</f>
        <v>11100</v>
      </c>
      <c r="N38" s="72" t="s">
        <v>400</v>
      </c>
      <c r="O38" s="102">
        <f t="shared" si="14"/>
        <v>10545</v>
      </c>
      <c r="P38" s="109" t="str">
        <f t="shared" si="15"/>
        <v>kcal/kg</v>
      </c>
      <c r="Q38" s="109" t="s">
        <v>385</v>
      </c>
      <c r="R38" s="103">
        <f t="shared" si="2"/>
        <v>3.5761342859999996E-2</v>
      </c>
      <c r="S38" s="103" t="str">
        <f t="shared" si="22"/>
        <v>TJ/m3</v>
      </c>
      <c r="T38" s="103">
        <f t="shared" si="23"/>
        <v>2571.2405516339995</v>
      </c>
      <c r="U38" s="103">
        <f t="shared" si="23"/>
        <v>0.35761342859999995</v>
      </c>
      <c r="V38" s="103">
        <f t="shared" si="23"/>
        <v>2.1456805715999998E-2</v>
      </c>
      <c r="W38" s="103" t="str">
        <f t="shared" si="16"/>
        <v>kg GEI/m3</v>
      </c>
      <c r="X38" s="103">
        <f t="shared" si="17"/>
        <v>2571.2405516339995</v>
      </c>
      <c r="Y38" s="103">
        <f t="shared" si="18"/>
        <v>10.013176000799998</v>
      </c>
      <c r="Z38" s="103">
        <f t="shared" si="19"/>
        <v>5.6860535147399993</v>
      </c>
      <c r="AA38" s="105" t="str">
        <f t="shared" si="20"/>
        <v>kg CO2e/m3</v>
      </c>
      <c r="AB38" s="103">
        <f t="shared" si="10"/>
        <v>2586.9397811495392</v>
      </c>
      <c r="AC38" s="404" t="str">
        <f t="shared" si="11"/>
        <v>kgCO2e/metros cúbicos</v>
      </c>
      <c r="AD38" s="72" t="s">
        <v>386</v>
      </c>
      <c r="AE38" s="72" t="s">
        <v>387</v>
      </c>
      <c r="AF38" s="402" t="s">
        <v>102</v>
      </c>
    </row>
    <row r="39" spans="2:32">
      <c r="B39" s="72" t="s">
        <v>116</v>
      </c>
      <c r="C39" s="72" t="s">
        <v>116</v>
      </c>
      <c r="D39" s="72" t="s">
        <v>410</v>
      </c>
      <c r="E39" s="72" t="s">
        <v>411</v>
      </c>
      <c r="F39" s="96" t="s">
        <v>104</v>
      </c>
      <c r="G39" s="79" t="s">
        <v>383</v>
      </c>
      <c r="H39" s="350">
        <f>'1.1 V2 CH2 T2.4'!$F$12</f>
        <v>71900</v>
      </c>
      <c r="I39" s="351">
        <f>'1.1 V2 CH2 T2.4'!$I$12</f>
        <v>10</v>
      </c>
      <c r="J39" s="351">
        <f>'1.1 V2 CH2 T2.4'!$L$12</f>
        <v>0.6</v>
      </c>
      <c r="K39" s="72">
        <f>'1.1 y 1.2CUADROA2 - BNE 2020-21'!$C$19</f>
        <v>0.81</v>
      </c>
      <c r="L39" s="72" t="s">
        <v>384</v>
      </c>
      <c r="M39" s="73">
        <f>'1.1 y 1.2CUADROA2 - BNE 2020-21'!D$19</f>
        <v>11100</v>
      </c>
      <c r="N39" s="72" t="s">
        <v>400</v>
      </c>
      <c r="O39" s="102">
        <f t="shared" si="14"/>
        <v>10545</v>
      </c>
      <c r="P39" s="109" t="str">
        <f t="shared" si="15"/>
        <v>kcal/kg</v>
      </c>
      <c r="Q39" s="403" t="s">
        <v>385</v>
      </c>
      <c r="R39" s="103">
        <f t="shared" si="2"/>
        <v>3.5761342859999996E-2</v>
      </c>
      <c r="S39" s="103" t="str">
        <f t="shared" si="22"/>
        <v>TJ/m3</v>
      </c>
      <c r="T39" s="103">
        <f t="shared" si="23"/>
        <v>2571.2405516339995</v>
      </c>
      <c r="U39" s="103">
        <f t="shared" si="23"/>
        <v>0.35761342859999995</v>
      </c>
      <c r="V39" s="103">
        <f t="shared" si="23"/>
        <v>2.1456805715999998E-2</v>
      </c>
      <c r="W39" s="103" t="str">
        <f t="shared" si="16"/>
        <v>kg GEI/m3</v>
      </c>
      <c r="X39" s="103">
        <f t="shared" si="17"/>
        <v>2571.2405516339995</v>
      </c>
      <c r="Y39" s="103">
        <f t="shared" si="18"/>
        <v>10.013176000799998</v>
      </c>
      <c r="Z39" s="103">
        <f t="shared" si="19"/>
        <v>5.6860535147399993</v>
      </c>
      <c r="AA39" s="105" t="str">
        <f t="shared" si="20"/>
        <v>kg CO2e/m3</v>
      </c>
      <c r="AB39" s="123">
        <f>SUM(X39:Z39)*IF(AND(F39="gramos",S39="TJ/m3")=TRUE(),1/(K39*1000000),IF(AND(F39="gramos",S39="TJ/kg")=TRUE(),1/(1000),IF(AND(F39="kilogramos",S39="TJ/m3")=TRUE(),1/(K39*1000),IF(AND(F39="toneladas",S39="TJ/m3")=TRUE(),1/K39,IF(AND(F39="toneladas",S39="TJ/kg")=TRUE(),1000,IF(AND(S39="TJ/m3",F39="litros")=TRUE(),1/1000,IF(AND(S39="TJ/kg",F39="litros")=TRUE(),K39/1000,1)))))))</f>
        <v>2.5869397811495394</v>
      </c>
      <c r="AC39" s="404" t="str">
        <f t="shared" si="11"/>
        <v>kgCO2e/litros</v>
      </c>
      <c r="AD39" s="72" t="s">
        <v>386</v>
      </c>
      <c r="AE39" s="72" t="s">
        <v>387</v>
      </c>
      <c r="AF39" s="402" t="s">
        <v>102</v>
      </c>
    </row>
    <row r="40" spans="2:32">
      <c r="B40" s="72" t="s">
        <v>117</v>
      </c>
      <c r="C40" s="72" t="s">
        <v>412</v>
      </c>
      <c r="D40" s="72" t="s">
        <v>413</v>
      </c>
      <c r="E40" s="72" t="s">
        <v>414</v>
      </c>
      <c r="F40" s="96" t="s">
        <v>106</v>
      </c>
      <c r="G40" s="79" t="s">
        <v>391</v>
      </c>
      <c r="H40" s="350">
        <f>'1.1 V2 CH2 T2.4'!$F$21</f>
        <v>97500</v>
      </c>
      <c r="I40" s="351">
        <f>'1.1 V2 CH2 T2.4'!$I$21</f>
        <v>10</v>
      </c>
      <c r="J40" s="351">
        <f>'1.1 V2 CH2 T2.4'!$L$21</f>
        <v>0.6</v>
      </c>
      <c r="K40" s="72"/>
      <c r="L40" s="72"/>
      <c r="M40" s="73">
        <f>'1.1 y 1.2CUADROA2 - BNE 2020-21'!D$25</f>
        <v>8100</v>
      </c>
      <c r="N40" s="72" t="s">
        <v>400</v>
      </c>
      <c r="O40" s="102">
        <f t="shared" si="14"/>
        <v>7695</v>
      </c>
      <c r="P40" s="109" t="str">
        <f t="shared" si="15"/>
        <v>kcal/kg</v>
      </c>
      <c r="Q40" s="109" t="s">
        <v>392</v>
      </c>
      <c r="R40" s="103">
        <f t="shared" si="2"/>
        <v>3.2217425999999999E-5</v>
      </c>
      <c r="S40" s="103" t="str">
        <f t="shared" si="22"/>
        <v>TJ/kg</v>
      </c>
      <c r="T40" s="103">
        <f t="shared" si="23"/>
        <v>3.1411990350000001</v>
      </c>
      <c r="U40" s="103">
        <f t="shared" si="23"/>
        <v>3.2217425999999999E-4</v>
      </c>
      <c r="V40" s="103">
        <f t="shared" si="23"/>
        <v>1.9330455599999997E-5</v>
      </c>
      <c r="W40" s="103" t="str">
        <f t="shared" si="16"/>
        <v>kg GEI/kg</v>
      </c>
      <c r="X40" s="103">
        <f t="shared" si="17"/>
        <v>3.1411990350000001</v>
      </c>
      <c r="Y40" s="103">
        <f t="shared" si="18"/>
        <v>9.0208792799999996E-3</v>
      </c>
      <c r="Z40" s="103">
        <f t="shared" si="19"/>
        <v>5.1225707339999996E-3</v>
      </c>
      <c r="AA40" s="105" t="str">
        <f t="shared" si="20"/>
        <v>kg CO2e/kg</v>
      </c>
      <c r="AB40" s="103">
        <f t="shared" ref="AB40" si="24">SUM(X40:Z40)*IF(AND(F40="gramos",S40="TJ/m3")=TRUE(),1/(K40*1000000),IF(AND(F40="gramos",S40="TJ/kg")=TRUE(),1/(1000),IF(AND(F40="kilogramos",S40="TJ/m3")=TRUE(),1/(K40*1000),IF(AND(F40="toneladas",S40="TJ/m3")=TRUE(),1/K40,IF(AND(F40="toneladas",S40="TJ/kg")=TRUE(),1000,IF(AND(S40="TJ/m3",F40="litros")=TRUE(),1/1000,IF(AND(S40="TJ/kg",F40="litros")=TRUE(),K40/1000,1)))))))</f>
        <v>3155.342485014</v>
      </c>
      <c r="AC40" s="404" t="str">
        <f t="shared" si="11"/>
        <v>kgCO2e/toneladas</v>
      </c>
      <c r="AD40" s="72" t="s">
        <v>386</v>
      </c>
      <c r="AE40" s="72" t="s">
        <v>387</v>
      </c>
      <c r="AF40" s="402" t="s">
        <v>102</v>
      </c>
    </row>
    <row r="41" spans="2:32">
      <c r="B41" s="72" t="s">
        <v>117</v>
      </c>
      <c r="C41" s="72" t="s">
        <v>412</v>
      </c>
      <c r="D41" s="72" t="s">
        <v>413</v>
      </c>
      <c r="E41" s="72" t="s">
        <v>414</v>
      </c>
      <c r="F41" s="96" t="s">
        <v>107</v>
      </c>
      <c r="G41" s="79" t="s">
        <v>391</v>
      </c>
      <c r="H41" s="350">
        <f>'1.1 V2 CH2 T2.4'!$F$21</f>
        <v>97500</v>
      </c>
      <c r="I41" s="351">
        <f>'1.1 V2 CH2 T2.4'!$I$21</f>
        <v>10</v>
      </c>
      <c r="J41" s="351">
        <f>'1.1 V2 CH2 T2.4'!$L$21</f>
        <v>0.6</v>
      </c>
      <c r="K41" s="72"/>
      <c r="L41" s="72"/>
      <c r="M41" s="73">
        <f>'1.1 y 1.2CUADROA2 - BNE 2020-21'!D$25</f>
        <v>8100</v>
      </c>
      <c r="N41" s="72" t="s">
        <v>400</v>
      </c>
      <c r="O41" s="102">
        <f t="shared" si="14"/>
        <v>7695</v>
      </c>
      <c r="P41" s="109" t="str">
        <f t="shared" si="15"/>
        <v>kcal/kg</v>
      </c>
      <c r="Q41" s="109" t="s">
        <v>392</v>
      </c>
      <c r="R41" s="103">
        <f t="shared" si="2"/>
        <v>3.2217425999999999E-5</v>
      </c>
      <c r="S41" s="103" t="str">
        <f t="shared" si="22"/>
        <v>TJ/kg</v>
      </c>
      <c r="T41" s="103">
        <f t="shared" si="23"/>
        <v>3.1411990350000001</v>
      </c>
      <c r="U41" s="103">
        <f t="shared" si="23"/>
        <v>3.2217425999999999E-4</v>
      </c>
      <c r="V41" s="103">
        <f t="shared" si="23"/>
        <v>1.9330455599999997E-5</v>
      </c>
      <c r="W41" s="103" t="str">
        <f t="shared" si="16"/>
        <v>kg GEI/kg</v>
      </c>
      <c r="X41" s="103">
        <f t="shared" si="17"/>
        <v>3.1411990350000001</v>
      </c>
      <c r="Y41" s="104">
        <f t="shared" si="18"/>
        <v>9.0208792799999996E-3</v>
      </c>
      <c r="Z41" s="104">
        <f t="shared" si="19"/>
        <v>5.1225707339999996E-3</v>
      </c>
      <c r="AA41" s="105" t="str">
        <f t="shared" si="20"/>
        <v>kg CO2e/kg</v>
      </c>
      <c r="AB41" s="103">
        <f t="shared" ref="AB41:AB42" si="25">SUM(X41:Z41)*IF(AND(F41="gramos",S41="TJ/m3")=TRUE(),1/(K41*1000000),IF(AND(F41="gramos",S41="TJ/kg")=TRUE(),1/(1000),IF(AND(F41="kilogramos",S41="TJ/m3")=TRUE(),1/(K41*1000),IF(AND(F41="toneladas",S41="TJ/m3")=TRUE(),1/K41,IF(AND(F41="toneladas",S41="TJ/kg")=TRUE(),1000,IF(AND(S41="TJ/m3",F41="litros")=TRUE(),1/1000,IF(AND(S41="TJ/kg",F41="litros")=TRUE(),K41/1000,1)))))))</f>
        <v>3.1553424850140002</v>
      </c>
      <c r="AC41" s="404" t="str">
        <f t="shared" si="11"/>
        <v>kgCO2e/kilogramos</v>
      </c>
      <c r="AD41" s="72" t="s">
        <v>386</v>
      </c>
      <c r="AE41" s="72" t="s">
        <v>387</v>
      </c>
      <c r="AF41" s="402" t="s">
        <v>102</v>
      </c>
    </row>
    <row r="42" spans="2:32">
      <c r="B42" s="72" t="s">
        <v>117</v>
      </c>
      <c r="C42" s="72" t="s">
        <v>412</v>
      </c>
      <c r="D42" s="72" t="s">
        <v>413</v>
      </c>
      <c r="E42" s="72" t="s">
        <v>414</v>
      </c>
      <c r="F42" s="96" t="s">
        <v>108</v>
      </c>
      <c r="G42" s="79" t="s">
        <v>391</v>
      </c>
      <c r="H42" s="350">
        <f>'1.1 V2 CH2 T2.4'!$F$21</f>
        <v>97500</v>
      </c>
      <c r="I42" s="351">
        <f>'1.1 V2 CH2 T2.4'!$I$21</f>
        <v>10</v>
      </c>
      <c r="J42" s="351">
        <f>'1.1 V2 CH2 T2.4'!$L$21</f>
        <v>0.6</v>
      </c>
      <c r="K42" s="72"/>
      <c r="L42" s="72"/>
      <c r="M42" s="73">
        <f>'1.1 y 1.2CUADROA2 - BNE 2020-21'!D$25</f>
        <v>8100</v>
      </c>
      <c r="N42" s="72" t="s">
        <v>400</v>
      </c>
      <c r="O42" s="102">
        <f t="shared" si="14"/>
        <v>7695</v>
      </c>
      <c r="P42" s="109" t="str">
        <f t="shared" si="15"/>
        <v>kcal/kg</v>
      </c>
      <c r="Q42" s="109" t="s">
        <v>392</v>
      </c>
      <c r="R42" s="103">
        <f t="shared" si="2"/>
        <v>3.2217425999999999E-5</v>
      </c>
      <c r="S42" s="103" t="str">
        <f t="shared" si="22"/>
        <v>TJ/kg</v>
      </c>
      <c r="T42" s="103">
        <f t="shared" si="23"/>
        <v>3.1411990350000001</v>
      </c>
      <c r="U42" s="103">
        <f t="shared" si="23"/>
        <v>3.2217425999999999E-4</v>
      </c>
      <c r="V42" s="103">
        <f t="shared" si="23"/>
        <v>1.9330455599999997E-5</v>
      </c>
      <c r="W42" s="103" t="str">
        <f t="shared" si="16"/>
        <v>kg GEI/kg</v>
      </c>
      <c r="X42" s="103">
        <f t="shared" si="17"/>
        <v>3.1411990350000001</v>
      </c>
      <c r="Y42" s="103">
        <f t="shared" si="18"/>
        <v>9.0208792799999996E-3</v>
      </c>
      <c r="Z42" s="103">
        <f t="shared" si="19"/>
        <v>5.1225707339999996E-3</v>
      </c>
      <c r="AA42" s="105" t="str">
        <f t="shared" si="20"/>
        <v>kg CO2e/kg</v>
      </c>
      <c r="AB42" s="123">
        <f t="shared" si="25"/>
        <v>3.1553424850140001E-3</v>
      </c>
      <c r="AC42" s="404" t="str">
        <f t="shared" si="11"/>
        <v>kgCO2e/gramos</v>
      </c>
      <c r="AD42" s="72" t="s">
        <v>386</v>
      </c>
      <c r="AE42" s="72" t="s">
        <v>387</v>
      </c>
      <c r="AF42" s="402" t="s">
        <v>102</v>
      </c>
    </row>
    <row r="43" spans="2:32">
      <c r="B43" s="72" t="s">
        <v>118</v>
      </c>
      <c r="C43" s="72" t="s">
        <v>415</v>
      </c>
      <c r="D43" s="72" t="s">
        <v>416</v>
      </c>
      <c r="E43" s="72" t="s">
        <v>416</v>
      </c>
      <c r="F43" s="96" t="s">
        <v>103</v>
      </c>
      <c r="G43" s="79" t="s">
        <v>383</v>
      </c>
      <c r="H43" s="350">
        <f>'1.1 V2 CH2 T2.4'!$F$14</f>
        <v>74100</v>
      </c>
      <c r="I43" s="351">
        <f>'1.1 V2 CH2 T2.4'!$I$14</f>
        <v>10</v>
      </c>
      <c r="J43" s="351">
        <f>'1.1 V2 CH2 T2.4'!$L$14</f>
        <v>0.6</v>
      </c>
      <c r="K43" s="72">
        <f>'1.1 y 1.2CUADROA2 - BNE 2020-21'!$C$20</f>
        <v>0.84</v>
      </c>
      <c r="L43" s="72" t="s">
        <v>384</v>
      </c>
      <c r="M43" s="73">
        <f>'1.1 y 1.2CUADROA2 - BNE 2020-21'!D$20</f>
        <v>10900</v>
      </c>
      <c r="N43" s="72" t="s">
        <v>400</v>
      </c>
      <c r="O43" s="102">
        <f t="shared" si="14"/>
        <v>10355</v>
      </c>
      <c r="P43" s="109" t="str">
        <f t="shared" si="15"/>
        <v>kcal/kg</v>
      </c>
      <c r="Q43" s="109" t="s">
        <v>385</v>
      </c>
      <c r="R43" s="103">
        <f t="shared" si="2"/>
        <v>3.6417623759999997E-2</v>
      </c>
      <c r="S43" s="103" t="str">
        <f t="shared" si="22"/>
        <v>TJ/m3</v>
      </c>
      <c r="T43" s="103">
        <f t="shared" si="23"/>
        <v>2698.5459206159999</v>
      </c>
      <c r="U43" s="103">
        <f t="shared" si="23"/>
        <v>0.36417623759999995</v>
      </c>
      <c r="V43" s="103">
        <f t="shared" si="23"/>
        <v>2.1850574255999997E-2</v>
      </c>
      <c r="W43" s="103" t="str">
        <f t="shared" si="16"/>
        <v>kg GEI/m3</v>
      </c>
      <c r="X43" s="103">
        <f t="shared" si="17"/>
        <v>2698.5459206159999</v>
      </c>
      <c r="Y43" s="103">
        <f t="shared" si="18"/>
        <v>10.1969346528</v>
      </c>
      <c r="Z43" s="103">
        <f t="shared" si="19"/>
        <v>5.790402177839999</v>
      </c>
      <c r="AA43" s="105" t="str">
        <f t="shared" si="20"/>
        <v>kg CO2e/m3</v>
      </c>
      <c r="AB43" s="103">
        <f>SUM(X43:Z43)*IF(AND(F43="gramos",S43="TJ/m3")=TRUE(),1/(K43*1000000),IF(AND(F43="gramos",S43="TJ/kg")=TRUE(),1/(1000),IF(AND(F43="kilogramos",S43="TJ/m3")=TRUE(),1/(K43*1000),IF(AND(F43="toneladas",S43="TJ/m3")=TRUE(),1/K43,IF(AND(F43="toneladas",S43="TJ/kg")=TRUE(),1000,IF(AND(S43="TJ/m3",F43="litros")=TRUE(),1/1000,IF(AND(S43="TJ/kg",F43="litros")=TRUE(),K43/1000,1)))))))</f>
        <v>2714.5332574466397</v>
      </c>
      <c r="AC43" s="404" t="str">
        <f t="shared" si="11"/>
        <v>kgCO2e/metros cúbicos</v>
      </c>
      <c r="AD43" s="72" t="s">
        <v>386</v>
      </c>
      <c r="AE43" s="72" t="s">
        <v>387</v>
      </c>
      <c r="AF43" s="402" t="s">
        <v>102</v>
      </c>
    </row>
    <row r="44" spans="2:32">
      <c r="B44" s="72" t="s">
        <v>118</v>
      </c>
      <c r="C44" s="72" t="s">
        <v>415</v>
      </c>
      <c r="D44" s="72" t="s">
        <v>416</v>
      </c>
      <c r="E44" s="72" t="s">
        <v>416</v>
      </c>
      <c r="F44" s="96" t="s">
        <v>104</v>
      </c>
      <c r="G44" s="79" t="s">
        <v>383</v>
      </c>
      <c r="H44" s="350">
        <f>'1.1 V2 CH2 T2.4'!$F$14</f>
        <v>74100</v>
      </c>
      <c r="I44" s="351">
        <f>'1.1 V2 CH2 T2.4'!$I$14</f>
        <v>10</v>
      </c>
      <c r="J44" s="351">
        <f>'1.1 V2 CH2 T2.4'!$L$14</f>
        <v>0.6</v>
      </c>
      <c r="K44" s="72">
        <f>'1.1 y 1.2CUADROA2 - BNE 2020-21'!$C$20</f>
        <v>0.84</v>
      </c>
      <c r="L44" s="72" t="s">
        <v>384</v>
      </c>
      <c r="M44" s="73">
        <f>'1.1 y 1.2CUADROA2 - BNE 2020-21'!D$20</f>
        <v>10900</v>
      </c>
      <c r="N44" s="72" t="s">
        <v>400</v>
      </c>
      <c r="O44" s="102">
        <f t="shared" si="14"/>
        <v>10355</v>
      </c>
      <c r="P44" s="109" t="str">
        <f t="shared" si="15"/>
        <v>kcal/kg</v>
      </c>
      <c r="Q44" s="109" t="s">
        <v>385</v>
      </c>
      <c r="R44" s="103">
        <f t="shared" si="2"/>
        <v>3.6417623759999997E-2</v>
      </c>
      <c r="S44" s="103" t="str">
        <f t="shared" si="22"/>
        <v>TJ/m3</v>
      </c>
      <c r="T44" s="103">
        <f t="shared" si="23"/>
        <v>2698.5459206159999</v>
      </c>
      <c r="U44" s="103">
        <f t="shared" si="23"/>
        <v>0.36417623759999995</v>
      </c>
      <c r="V44" s="103">
        <f t="shared" si="23"/>
        <v>2.1850574255999997E-2</v>
      </c>
      <c r="W44" s="103" t="str">
        <f t="shared" si="16"/>
        <v>kg GEI/m3</v>
      </c>
      <c r="X44" s="103">
        <f t="shared" si="17"/>
        <v>2698.5459206159999</v>
      </c>
      <c r="Y44" s="103">
        <f t="shared" si="18"/>
        <v>10.1969346528</v>
      </c>
      <c r="Z44" s="103">
        <f t="shared" si="19"/>
        <v>5.790402177839999</v>
      </c>
      <c r="AA44" s="105" t="str">
        <f t="shared" si="20"/>
        <v>kg CO2e/m3</v>
      </c>
      <c r="AB44" s="123">
        <f t="shared" ref="AB44:AB48" si="26">SUM(X44:Z44)*IF(AND(F44="gramos",S44="TJ/m3")=TRUE(),1/(K44*1000000),IF(AND(F44="gramos",S44="TJ/kg")=TRUE(),1/(1000),IF(AND(F44="kilogramos",S44="TJ/m3")=TRUE(),1/(K44*1000),IF(AND(F44="toneladas",S44="TJ/m3")=TRUE(),1/K44,IF(AND(F44="toneladas",S44="TJ/kg")=TRUE(),1000,IF(AND(S44="TJ/m3",F44="litros")=TRUE(),1/1000,IF(AND(S44="TJ/kg",F44="litros")=TRUE(),K44/1000,1)))))))</f>
        <v>2.7145332574466399</v>
      </c>
      <c r="AC44" s="404" t="str">
        <f t="shared" si="11"/>
        <v>kgCO2e/litros</v>
      </c>
      <c r="AD44" s="72" t="s">
        <v>386</v>
      </c>
      <c r="AE44" s="72" t="s">
        <v>387</v>
      </c>
      <c r="AF44" s="402" t="s">
        <v>102</v>
      </c>
    </row>
    <row r="45" spans="2:32">
      <c r="B45" s="72" t="s">
        <v>119</v>
      </c>
      <c r="C45" s="72" t="s">
        <v>417</v>
      </c>
      <c r="D45" s="72" t="s">
        <v>418</v>
      </c>
      <c r="E45" s="72" t="s">
        <v>419</v>
      </c>
      <c r="F45" s="96" t="s">
        <v>103</v>
      </c>
      <c r="G45" s="79" t="s">
        <v>383</v>
      </c>
      <c r="H45" s="350">
        <f>'1.1 V2 CH2 T2.4'!$F$15</f>
        <v>77400</v>
      </c>
      <c r="I45" s="351">
        <f>'1.1 V2 CH2 T2.4'!$I$15</f>
        <v>10</v>
      </c>
      <c r="J45" s="351">
        <f>'1.1 V2 CH2 T2.4'!$L$15</f>
        <v>0.6</v>
      </c>
      <c r="K45" s="72">
        <f>'1.1 y 1.2CUADROA2 - BNE 2020-21'!$C$11</f>
        <v>0.92700000000000005</v>
      </c>
      <c r="L45" s="72" t="s">
        <v>384</v>
      </c>
      <c r="M45" s="73">
        <f>'1.1 y 1.2CUADROA2 - BNE 2020-21'!D$11</f>
        <v>10500</v>
      </c>
      <c r="N45" s="72" t="s">
        <v>400</v>
      </c>
      <c r="O45" s="102">
        <f t="shared" si="14"/>
        <v>9975</v>
      </c>
      <c r="P45" s="109" t="str">
        <f t="shared" si="15"/>
        <v>kcal/kg</v>
      </c>
      <c r="Q45" s="109" t="s">
        <v>385</v>
      </c>
      <c r="R45" s="103">
        <f t="shared" si="2"/>
        <v>3.8714606910000005E-2</v>
      </c>
      <c r="S45" s="103" t="str">
        <f t="shared" si="22"/>
        <v>TJ/m3</v>
      </c>
      <c r="T45" s="103">
        <f t="shared" si="23"/>
        <v>2996.5105748340002</v>
      </c>
      <c r="U45" s="103">
        <f t="shared" si="23"/>
        <v>0.38714606910000005</v>
      </c>
      <c r="V45" s="103">
        <f t="shared" si="23"/>
        <v>2.3228764146000003E-2</v>
      </c>
      <c r="W45" s="103" t="str">
        <f t="shared" si="16"/>
        <v>kg GEI/m3</v>
      </c>
      <c r="X45" s="103">
        <f t="shared" si="17"/>
        <v>2996.5105748340002</v>
      </c>
      <c r="Y45" s="103">
        <f t="shared" si="18"/>
        <v>10.840089934800002</v>
      </c>
      <c r="Z45" s="103">
        <f t="shared" si="19"/>
        <v>6.1556224986900006</v>
      </c>
      <c r="AA45" s="105" t="str">
        <f t="shared" si="20"/>
        <v>kg CO2e/m3</v>
      </c>
      <c r="AB45" s="103">
        <f t="shared" si="26"/>
        <v>3013.5062872674898</v>
      </c>
      <c r="AC45" s="404" t="str">
        <f t="shared" si="11"/>
        <v>kgCO2e/metros cúbicos</v>
      </c>
      <c r="AD45" s="72" t="s">
        <v>386</v>
      </c>
      <c r="AE45" s="72" t="s">
        <v>387</v>
      </c>
      <c r="AF45" s="402" t="s">
        <v>102</v>
      </c>
    </row>
    <row r="46" spans="2:32">
      <c r="B46" s="72" t="s">
        <v>119</v>
      </c>
      <c r="C46" s="72" t="s">
        <v>417</v>
      </c>
      <c r="D46" s="72" t="s">
        <v>418</v>
      </c>
      <c r="E46" s="72" t="s">
        <v>419</v>
      </c>
      <c r="F46" s="96" t="s">
        <v>104</v>
      </c>
      <c r="G46" s="79" t="s">
        <v>383</v>
      </c>
      <c r="H46" s="350">
        <f>'1.1 V2 CH2 T2.4'!$F$15</f>
        <v>77400</v>
      </c>
      <c r="I46" s="351">
        <f>'1.1 V2 CH2 T2.4'!$I$15</f>
        <v>10</v>
      </c>
      <c r="J46" s="351">
        <f>'1.1 V2 CH2 T2.4'!$L$15</f>
        <v>0.6</v>
      </c>
      <c r="K46" s="72">
        <f>'1.1 y 1.2CUADROA2 - BNE 2020-21'!$C$11</f>
        <v>0.92700000000000005</v>
      </c>
      <c r="L46" s="72" t="s">
        <v>384</v>
      </c>
      <c r="M46" s="73">
        <f>'1.1 y 1.2CUADROA2 - BNE 2020-21'!D$11</f>
        <v>10500</v>
      </c>
      <c r="N46" s="72" t="s">
        <v>400</v>
      </c>
      <c r="O46" s="102">
        <f t="shared" si="14"/>
        <v>9975</v>
      </c>
      <c r="P46" s="109" t="str">
        <f t="shared" si="15"/>
        <v>kcal/kg</v>
      </c>
      <c r="Q46" s="403" t="s">
        <v>385</v>
      </c>
      <c r="R46" s="103">
        <f t="shared" si="2"/>
        <v>3.8714606910000005E-2</v>
      </c>
      <c r="S46" s="103" t="str">
        <f t="shared" si="22"/>
        <v>TJ/m3</v>
      </c>
      <c r="T46" s="103">
        <f t="shared" si="23"/>
        <v>2996.5105748340002</v>
      </c>
      <c r="U46" s="103">
        <f t="shared" si="23"/>
        <v>0.38714606910000005</v>
      </c>
      <c r="V46" s="103">
        <f t="shared" si="23"/>
        <v>2.3228764146000003E-2</v>
      </c>
      <c r="W46" s="103" t="str">
        <f t="shared" si="16"/>
        <v>kg GEI/m3</v>
      </c>
      <c r="X46" s="103">
        <f t="shared" si="17"/>
        <v>2996.5105748340002</v>
      </c>
      <c r="Y46" s="103">
        <f t="shared" si="18"/>
        <v>10.840089934800002</v>
      </c>
      <c r="Z46" s="103">
        <f t="shared" si="19"/>
        <v>6.1556224986900006</v>
      </c>
      <c r="AA46" s="105" t="str">
        <f t="shared" si="20"/>
        <v>kg CO2e/m3</v>
      </c>
      <c r="AB46" s="123">
        <f t="shared" si="26"/>
        <v>3.0135062872674898</v>
      </c>
      <c r="AC46" s="404" t="str">
        <f t="shared" si="11"/>
        <v>kgCO2e/litros</v>
      </c>
      <c r="AD46" s="72" t="s">
        <v>386</v>
      </c>
      <c r="AE46" s="72" t="s">
        <v>387</v>
      </c>
      <c r="AF46" s="402" t="s">
        <v>102</v>
      </c>
    </row>
    <row r="47" spans="2:32">
      <c r="B47" s="72" t="s">
        <v>120</v>
      </c>
      <c r="C47" s="72" t="s">
        <v>420</v>
      </c>
      <c r="D47" s="72" t="s">
        <v>418</v>
      </c>
      <c r="E47" s="72" t="s">
        <v>419</v>
      </c>
      <c r="F47" s="96" t="s">
        <v>103</v>
      </c>
      <c r="G47" s="79" t="s">
        <v>383</v>
      </c>
      <c r="H47" s="350">
        <f>'1.1 V2 CH2 T2.4'!$F$15</f>
        <v>77400</v>
      </c>
      <c r="I47" s="351">
        <f>'1.1 V2 CH2 T2.4'!$I$15</f>
        <v>10</v>
      </c>
      <c r="J47" s="351">
        <f>'1.1 V2 CH2 T2.4'!$L$15</f>
        <v>0.6</v>
      </c>
      <c r="K47" s="72">
        <f>'1.1 y 1.2CUADROA2 - BNE 2020-21'!$C$13</f>
        <v>0.94499999999999995</v>
      </c>
      <c r="L47" s="72" t="s">
        <v>384</v>
      </c>
      <c r="M47" s="73">
        <f>'1.1 y 1.2CUADROA2 - BNE 2020-21'!D$13</f>
        <v>10500</v>
      </c>
      <c r="N47" s="72" t="s">
        <v>400</v>
      </c>
      <c r="O47" s="102">
        <f t="shared" si="14"/>
        <v>9975</v>
      </c>
      <c r="P47" s="109" t="str">
        <f t="shared" si="15"/>
        <v>kcal/kg</v>
      </c>
      <c r="Q47" s="109" t="s">
        <v>385</v>
      </c>
      <c r="R47" s="103">
        <f t="shared" si="2"/>
        <v>3.946634685E-2</v>
      </c>
      <c r="S47" s="103" t="str">
        <f t="shared" si="22"/>
        <v>TJ/m3</v>
      </c>
      <c r="T47" s="103">
        <f t="shared" si="23"/>
        <v>3054.69524619</v>
      </c>
      <c r="U47" s="103">
        <f t="shared" si="23"/>
        <v>0.3946634685</v>
      </c>
      <c r="V47" s="103">
        <f t="shared" si="23"/>
        <v>2.3679808109999999E-2</v>
      </c>
      <c r="W47" s="103" t="str">
        <f t="shared" si="16"/>
        <v>kg GEI/m3</v>
      </c>
      <c r="X47" s="103">
        <f t="shared" si="17"/>
        <v>3054.69524619</v>
      </c>
      <c r="Y47" s="103">
        <f t="shared" si="18"/>
        <v>11.050577118</v>
      </c>
      <c r="Z47" s="103">
        <f t="shared" si="19"/>
        <v>6.2751491491499998</v>
      </c>
      <c r="AA47" s="105" t="str">
        <f t="shared" si="20"/>
        <v>kg CO2e/m3</v>
      </c>
      <c r="AB47" s="103">
        <f t="shared" si="26"/>
        <v>3072.02097245715</v>
      </c>
      <c r="AC47" s="404" t="str">
        <f t="shared" si="11"/>
        <v>kgCO2e/metros cúbicos</v>
      </c>
      <c r="AD47" s="72" t="s">
        <v>386</v>
      </c>
      <c r="AE47" s="72" t="s">
        <v>387</v>
      </c>
      <c r="AF47" s="402" t="s">
        <v>102</v>
      </c>
    </row>
    <row r="48" spans="2:32">
      <c r="B48" s="72" t="s">
        <v>120</v>
      </c>
      <c r="C48" s="72" t="s">
        <v>420</v>
      </c>
      <c r="D48" s="72" t="s">
        <v>418</v>
      </c>
      <c r="E48" s="72" t="s">
        <v>419</v>
      </c>
      <c r="F48" s="96" t="s">
        <v>104</v>
      </c>
      <c r="G48" s="79" t="s">
        <v>383</v>
      </c>
      <c r="H48" s="350">
        <f>'1.1 V2 CH2 T2.4'!$F$15</f>
        <v>77400</v>
      </c>
      <c r="I48" s="351">
        <f>'1.1 V2 CH2 T2.4'!$I$15</f>
        <v>10</v>
      </c>
      <c r="J48" s="351">
        <f>'1.1 V2 CH2 T2.4'!$L$15</f>
        <v>0.6</v>
      </c>
      <c r="K48" s="72">
        <f>'1.1 y 1.2CUADROA2 - BNE 2020-21'!$C$13</f>
        <v>0.94499999999999995</v>
      </c>
      <c r="L48" s="72" t="s">
        <v>384</v>
      </c>
      <c r="M48" s="73">
        <f>'1.1 y 1.2CUADROA2 - BNE 2020-21'!D$13</f>
        <v>10500</v>
      </c>
      <c r="N48" s="72" t="s">
        <v>400</v>
      </c>
      <c r="O48" s="102">
        <f t="shared" si="14"/>
        <v>9975</v>
      </c>
      <c r="P48" s="109" t="str">
        <f t="shared" si="15"/>
        <v>kcal/kg</v>
      </c>
      <c r="Q48" s="109" t="s">
        <v>385</v>
      </c>
      <c r="R48" s="103">
        <f t="shared" si="2"/>
        <v>3.946634685E-2</v>
      </c>
      <c r="S48" s="103" t="str">
        <f t="shared" si="22"/>
        <v>TJ/m3</v>
      </c>
      <c r="T48" s="103">
        <f t="shared" ref="T48:V48" si="27">H48*$R48</f>
        <v>3054.69524619</v>
      </c>
      <c r="U48" s="103">
        <f t="shared" si="27"/>
        <v>0.3946634685</v>
      </c>
      <c r="V48" s="103">
        <f t="shared" si="27"/>
        <v>2.3679808109999999E-2</v>
      </c>
      <c r="W48" s="103" t="str">
        <f t="shared" si="16"/>
        <v>kg GEI/m3</v>
      </c>
      <c r="X48" s="103">
        <f t="shared" si="17"/>
        <v>3054.69524619</v>
      </c>
      <c r="Y48" s="103">
        <f t="shared" si="18"/>
        <v>11.050577118</v>
      </c>
      <c r="Z48" s="103">
        <f t="shared" si="19"/>
        <v>6.2751491491499998</v>
      </c>
      <c r="AA48" s="105" t="str">
        <f t="shared" si="20"/>
        <v>kg CO2e/m3</v>
      </c>
      <c r="AB48" s="123">
        <f t="shared" si="26"/>
        <v>3.0720209724571501</v>
      </c>
      <c r="AC48" s="404" t="str">
        <f t="shared" si="11"/>
        <v>kgCO2e/litros</v>
      </c>
      <c r="AD48" s="72" t="s">
        <v>386</v>
      </c>
      <c r="AE48" s="72" t="s">
        <v>387</v>
      </c>
      <c r="AF48" s="402" t="s">
        <v>102</v>
      </c>
    </row>
    <row r="49" spans="2:9">
      <c r="B49" s="414"/>
      <c r="C49" s="414"/>
    </row>
    <row r="50" spans="2:9">
      <c r="B50" s="414"/>
      <c r="C50" s="414"/>
    </row>
    <row r="51" spans="2:9">
      <c r="B51" s="414"/>
      <c r="C51" s="414"/>
    </row>
    <row r="52" spans="2:9">
      <c r="B52" s="414"/>
      <c r="C52" s="414"/>
    </row>
    <row r="53" spans="2:9">
      <c r="B53" s="1" t="s">
        <v>358</v>
      </c>
      <c r="C53" s="414"/>
    </row>
    <row r="54" spans="2:9">
      <c r="B54" s="1" t="s">
        <v>210</v>
      </c>
      <c r="C54" s="414"/>
    </row>
    <row r="55" spans="2:9">
      <c r="B55" s="1" t="s">
        <v>2173</v>
      </c>
      <c r="C55" s="414"/>
    </row>
    <row r="56" spans="2:9">
      <c r="C56" s="414"/>
    </row>
    <row r="57" spans="2:9">
      <c r="C57" s="414"/>
    </row>
    <row r="58" spans="2:9" ht="28.8">
      <c r="B58" s="114" t="s">
        <v>716</v>
      </c>
      <c r="C58" s="114" t="s">
        <v>362</v>
      </c>
      <c r="D58" s="114" t="s">
        <v>717</v>
      </c>
      <c r="E58" s="114" t="s">
        <v>718</v>
      </c>
      <c r="F58" s="304" t="s">
        <v>719</v>
      </c>
      <c r="G58" s="74" t="s">
        <v>720</v>
      </c>
      <c r="H58" s="74" t="s">
        <v>721</v>
      </c>
      <c r="I58" s="74" t="s">
        <v>96</v>
      </c>
    </row>
    <row r="59" spans="2:9">
      <c r="B59" s="408" t="s">
        <v>143</v>
      </c>
      <c r="C59" s="414" t="s">
        <v>143</v>
      </c>
      <c r="D59" s="79" t="s">
        <v>722</v>
      </c>
      <c r="E59" s="408" t="s">
        <v>143</v>
      </c>
      <c r="F59" s="408" t="s">
        <v>107</v>
      </c>
      <c r="G59" s="363">
        <f>_xlfn.XLOOKUP(B59,'1.4 AR5 CH8  T8.A.1'!$A$4:$A$217,'1.4 AR5 CH8  T8.A.1'!$H$4:$H$217,_xlfn.XLOOKUP(B59,'1.4 V3 CH7 T7.8'!$B$4:$B$54,'1.4 V3 CH7 T7.8'!$O$4:$O$54,"No se encuentra"))</f>
        <v>858</v>
      </c>
      <c r="H59" s="501" t="str">
        <f>"kgCO2e/"&amp;F59</f>
        <v>kgCO2e/kilogramos</v>
      </c>
      <c r="I59" s="72" t="s">
        <v>723</v>
      </c>
    </row>
    <row r="60" spans="2:9">
      <c r="B60" s="79" t="s">
        <v>170</v>
      </c>
      <c r="C60" s="79" t="s">
        <v>170</v>
      </c>
      <c r="D60" s="79" t="s">
        <v>722</v>
      </c>
      <c r="E60" s="79" t="s">
        <v>170</v>
      </c>
      <c r="F60" s="408" t="s">
        <v>107</v>
      </c>
      <c r="G60" s="363">
        <f>_xlfn.XLOOKUP(B60,'1.4 AR5 CH8  T8.A.1'!$A$4:$A$217,'1.4 AR5 CH8  T8.A.1'!$H$4:$H$217,_xlfn.XLOOKUP(B60,'1.4 V3 CH7 T7.8'!$B$4:$B$54,'1.4 V3 CH7 T7.8'!$O$4:$O$54,"No se encuentra"))</f>
        <v>328</v>
      </c>
      <c r="H60" s="501" t="str">
        <f t="shared" ref="H60:H90" si="28">"kgCO2e/"&amp;F60</f>
        <v>kgCO2e/kilogramos</v>
      </c>
      <c r="I60" s="334" t="s">
        <v>723</v>
      </c>
    </row>
    <row r="61" spans="2:9">
      <c r="B61" s="79" t="s">
        <v>171</v>
      </c>
      <c r="C61" s="79" t="s">
        <v>171</v>
      </c>
      <c r="D61" s="79" t="s">
        <v>722</v>
      </c>
      <c r="E61" s="79" t="s">
        <v>171</v>
      </c>
      <c r="F61" s="408" t="s">
        <v>107</v>
      </c>
      <c r="G61" s="363">
        <f>_xlfn.XLOOKUP(B61,'1.4 AR5 CH8  T8.A.1'!$A$4:$A$217,'1.4 AR5 CH8  T8.A.1'!$H$4:$H$217,_xlfn.XLOOKUP(B61,'1.4 V3 CH7 T7.8'!$B$4:$B$54,'1.4 V3 CH7 T7.8'!$O$4:$O$54,"No se encuentra"))</f>
        <v>4800</v>
      </c>
      <c r="H61" s="501" t="str">
        <f t="shared" si="28"/>
        <v>kgCO2e/kilogramos</v>
      </c>
      <c r="I61" s="79" t="s">
        <v>723</v>
      </c>
    </row>
    <row r="62" spans="2:9">
      <c r="B62" s="79" t="s">
        <v>172</v>
      </c>
      <c r="C62" s="79" t="s">
        <v>172</v>
      </c>
      <c r="D62" s="79" t="s">
        <v>722</v>
      </c>
      <c r="E62" s="79" t="s">
        <v>172</v>
      </c>
      <c r="F62" s="408" t="s">
        <v>107</v>
      </c>
      <c r="G62" s="363">
        <f>_xlfn.XLOOKUP(B62,'1.4 AR5 CH8  T8.A.1'!$A$4:$A$217,'1.4 AR5 CH8  T8.A.1'!$H$4:$H$217,_xlfn.XLOOKUP(B62,'1.4 V3 CH7 T7.8'!$B$4:$B$54,'1.4 V3 CH7 T7.8'!$O$4:$O$54,"No se encuentra"))</f>
        <v>138</v>
      </c>
      <c r="H62" s="501" t="str">
        <f t="shared" si="28"/>
        <v>kgCO2e/kilogramos</v>
      </c>
      <c r="I62" s="79" t="s">
        <v>723</v>
      </c>
    </row>
    <row r="63" spans="2:9">
      <c r="B63" s="79" t="s">
        <v>173</v>
      </c>
      <c r="C63" s="79" t="s">
        <v>173</v>
      </c>
      <c r="D63" s="79" t="s">
        <v>722</v>
      </c>
      <c r="E63" s="79" t="s">
        <v>173</v>
      </c>
      <c r="F63" s="408" t="s">
        <v>107</v>
      </c>
      <c r="G63" s="363">
        <f>_xlfn.XLOOKUP(B63,'1.4 AR5 CH8  T8.A.1'!$A$4:$A$217,'1.4 AR5 CH8  T8.A.1'!$H$4:$H$217,_xlfn.XLOOKUP(B63,'1.4 V3 CH7 T7.8'!$B$4:$B$54,'1.4 V3 CH7 T7.8'!$O$4:$O$54,"No se encuentra"))</f>
        <v>3350</v>
      </c>
      <c r="H63" s="501" t="str">
        <f t="shared" si="28"/>
        <v>kgCO2e/kilogramos</v>
      </c>
      <c r="I63" s="79" t="s">
        <v>723</v>
      </c>
    </row>
    <row r="64" spans="2:9">
      <c r="B64" s="79" t="s">
        <v>174</v>
      </c>
      <c r="C64" s="79" t="s">
        <v>174</v>
      </c>
      <c r="D64" s="79" t="s">
        <v>722</v>
      </c>
      <c r="E64" s="79" t="s">
        <v>174</v>
      </c>
      <c r="F64" s="408" t="s">
        <v>107</v>
      </c>
      <c r="G64" s="363">
        <f>_xlfn.XLOOKUP(B64,'1.4 AR5 CH8  T8.A.1'!$A$4:$A$217,'1.4 AR5 CH8  T8.A.1'!$H$4:$H$217,_xlfn.XLOOKUP(B64,'1.4 V3 CH7 T7.8'!$B$4:$B$54,'1.4 V3 CH7 T7.8'!$O$4:$O$54,"No se encuentra"))</f>
        <v>12400</v>
      </c>
      <c r="H64" s="501" t="str">
        <f t="shared" si="28"/>
        <v>kgCO2e/kilogramos</v>
      </c>
      <c r="I64" s="79" t="s">
        <v>723</v>
      </c>
    </row>
    <row r="65" spans="2:9">
      <c r="B65" s="79" t="s">
        <v>175</v>
      </c>
      <c r="C65" s="79" t="s">
        <v>175</v>
      </c>
      <c r="D65" s="79" t="s">
        <v>722</v>
      </c>
      <c r="E65" s="79" t="s">
        <v>175</v>
      </c>
      <c r="F65" s="408" t="s">
        <v>107</v>
      </c>
      <c r="G65" s="363">
        <f>_xlfn.XLOOKUP(B65,'1.4 AR5 CH8  T8.A.1'!$A$4:$A$217,'1.4 AR5 CH8  T8.A.1'!$H$4:$H$217,_xlfn.XLOOKUP(B65,'1.4 V3 CH7 T7.8'!$B$4:$B$54,'1.4 V3 CH7 T7.8'!$O$4:$O$54,"No se encuentra"))</f>
        <v>8060</v>
      </c>
      <c r="H65" s="501" t="str">
        <f t="shared" si="28"/>
        <v>kgCO2e/kilogramos</v>
      </c>
      <c r="I65" s="79" t="s">
        <v>723</v>
      </c>
    </row>
    <row r="66" spans="2:9">
      <c r="B66" s="408" t="s">
        <v>144</v>
      </c>
      <c r="C66" s="408" t="s">
        <v>144</v>
      </c>
      <c r="D66" s="79" t="s">
        <v>722</v>
      </c>
      <c r="E66" s="408" t="s">
        <v>144</v>
      </c>
      <c r="F66" s="408" t="s">
        <v>107</v>
      </c>
      <c r="G66" s="363">
        <f>_xlfn.XLOOKUP(B66,'1.4 AR5 CH8  T8.A.1'!$A$4:$A$217,'1.4 AR5 CH8  T8.A.1'!$H$4:$H$217,_xlfn.XLOOKUP(B66,'1.4 V3 CH7 T7.8'!$B$4:$B$54,'1.4 V3 CH7 T7.8'!$O$4:$O$54,"No se encuentra"))</f>
        <v>677</v>
      </c>
      <c r="H66" s="501" t="str">
        <f t="shared" si="28"/>
        <v>kgCO2e/kilogramos</v>
      </c>
      <c r="I66" s="79" t="s">
        <v>723</v>
      </c>
    </row>
    <row r="67" spans="2:9">
      <c r="B67" s="408" t="s">
        <v>145</v>
      </c>
      <c r="C67" s="408" t="s">
        <v>145</v>
      </c>
      <c r="D67" s="79" t="s">
        <v>722</v>
      </c>
      <c r="E67" s="408" t="s">
        <v>145</v>
      </c>
      <c r="F67" s="408" t="s">
        <v>107</v>
      </c>
      <c r="G67" s="363">
        <f>_xlfn.XLOOKUP(B67,'1.4 AR5 CH8  T8.A.1'!$A$4:$A$217,'1.4 AR5 CH8  T8.A.1'!$H$4:$H$217,_xlfn.XLOOKUP(B67,'1.4 V3 CH7 T7.8'!$B$4:$B$54,'1.4 V3 CH7 T7.8'!$O$4:$O$54,"No se encuentra"))</f>
        <v>116</v>
      </c>
      <c r="H67" s="501" t="str">
        <f t="shared" si="28"/>
        <v>kgCO2e/kilogramos</v>
      </c>
      <c r="I67" s="79" t="s">
        <v>723</v>
      </c>
    </row>
    <row r="68" spans="2:9">
      <c r="B68" s="408" t="s">
        <v>724</v>
      </c>
      <c r="C68" s="154" t="s">
        <v>146</v>
      </c>
      <c r="D68" s="79" t="s">
        <v>722</v>
      </c>
      <c r="E68" s="408" t="s">
        <v>724</v>
      </c>
      <c r="F68" s="408" t="s">
        <v>107</v>
      </c>
      <c r="G68" s="363">
        <f>_xlfn.XLOOKUP(B68,'1.4 AR5 CH8  T8.A.1'!$A$4:$A$217,'1.4 AR5 CH8  T8.A.1'!$H$4:$H$217,_xlfn.XLOOKUP(B68,'1.4 V3 CH7 T7.8'!$B$4:$B$54,'1.4 V3 CH7 T7.8'!$O$4:$O$54,"No se encuentra"))</f>
        <v>1650</v>
      </c>
      <c r="H68" s="501" t="str">
        <f t="shared" si="28"/>
        <v>kgCO2e/kilogramos</v>
      </c>
      <c r="I68" s="79" t="s">
        <v>723</v>
      </c>
    </row>
    <row r="69" spans="2:9">
      <c r="B69" s="408" t="s">
        <v>725</v>
      </c>
      <c r="C69" s="408" t="s">
        <v>147</v>
      </c>
      <c r="D69" s="79" t="s">
        <v>722</v>
      </c>
      <c r="E69" s="79" t="s">
        <v>725</v>
      </c>
      <c r="F69" s="408" t="s">
        <v>107</v>
      </c>
      <c r="G69" s="363">
        <f>_xlfn.XLOOKUP(B69,'1.4 AR5 CH8  T8.A.1'!$A$4:$A$217,'1.4 AR5 CH8  T8.A.1'!$H$4:$H$217,_xlfn.XLOOKUP(B69,'1.4 V3 CH7 T7.8'!$B$4:$B$54,'1.4 V3 CH7 T7.8'!$O$4:$O$54,"No se encuentra"))</f>
        <v>9200</v>
      </c>
      <c r="H69" s="501" t="str">
        <f t="shared" si="28"/>
        <v>kgCO2e/kilogramos</v>
      </c>
      <c r="I69" s="79" t="s">
        <v>723</v>
      </c>
    </row>
    <row r="70" spans="2:9">
      <c r="B70" s="408" t="s">
        <v>726</v>
      </c>
      <c r="C70" s="79" t="s">
        <v>148</v>
      </c>
      <c r="D70" s="79" t="s">
        <v>722</v>
      </c>
      <c r="E70" s="408" t="s">
        <v>726</v>
      </c>
      <c r="F70" s="408" t="s">
        <v>107</v>
      </c>
      <c r="G70" s="363">
        <f>_xlfn.XLOOKUP(B70,'1.4 AR5 CH8  T8.A.1'!$A$4:$A$217,'1.4 AR5 CH8  T8.A.1'!$H$4:$H$217,_xlfn.XLOOKUP(B70,'1.4 V3 CH7 T7.8'!$B$4:$B$54,'1.4 V3 CH7 T7.8'!$O$4:$O$54,"No se encuentra"))</f>
        <v>9540</v>
      </c>
      <c r="H70" s="501" t="str">
        <f t="shared" si="28"/>
        <v>kgCO2e/kilogramos</v>
      </c>
      <c r="I70" s="79" t="s">
        <v>723</v>
      </c>
    </row>
    <row r="71" spans="2:9">
      <c r="B71" s="79" t="s">
        <v>727</v>
      </c>
      <c r="C71" s="79" t="s">
        <v>149</v>
      </c>
      <c r="D71" s="79" t="s">
        <v>722</v>
      </c>
      <c r="E71" s="79" t="s">
        <v>727</v>
      </c>
      <c r="F71" s="408" t="s">
        <v>107</v>
      </c>
      <c r="G71" s="363">
        <f>_xlfn.XLOOKUP(B71,'1.4 AR5 CH8  T8.A.1'!$A$4:$A$217,'1.4 AR5 CH8  T8.A.1'!$H$4:$H$217,_xlfn.XLOOKUP(B71,'1.4 V3 CH7 T7.8'!$B$4:$B$54,'1.4 V3 CH7 T7.8'!$O$4:$O$54,"No se encuentra"))</f>
        <v>11100</v>
      </c>
      <c r="H71" s="501" t="str">
        <f t="shared" si="28"/>
        <v>kgCO2e/kilogramos</v>
      </c>
      <c r="I71" s="79" t="s">
        <v>723</v>
      </c>
    </row>
    <row r="72" spans="2:9">
      <c r="B72" s="408" t="s">
        <v>728</v>
      </c>
      <c r="C72" s="408" t="s">
        <v>150</v>
      </c>
      <c r="D72" s="79" t="s">
        <v>722</v>
      </c>
      <c r="E72" s="79" t="s">
        <v>728</v>
      </c>
      <c r="F72" s="408" t="s">
        <v>107</v>
      </c>
      <c r="G72" s="363">
        <f>_xlfn.XLOOKUP(B72,'1.4 AR5 CH8  T8.A.1'!$A$4:$A$217,'1.4 AR5 CH8  T8.A.1'!$H$4:$H$217,_xlfn.XLOOKUP(B72,'1.4 V3 CH7 T7.8'!$B$4:$B$54,'1.4 V3 CH7 T7.8'!$O$4:$O$54,"No se encuentra"))</f>
        <v>7910</v>
      </c>
      <c r="H72" s="501" t="str">
        <f t="shared" si="28"/>
        <v>kgCO2e/kilogramos</v>
      </c>
      <c r="I72" s="79" t="s">
        <v>723</v>
      </c>
    </row>
    <row r="73" spans="2:9">
      <c r="B73" s="79" t="s">
        <v>729</v>
      </c>
      <c r="C73" s="79" t="s">
        <v>151</v>
      </c>
      <c r="D73" s="79" t="s">
        <v>722</v>
      </c>
      <c r="E73" s="79" t="s">
        <v>729</v>
      </c>
      <c r="F73" s="408" t="s">
        <v>107</v>
      </c>
      <c r="G73" s="363">
        <f>_xlfn.XLOOKUP(B73,'1.4 AR5 CH8  T8.A.1'!$A$4:$A$217,'1.4 AR5 CH8  T8.A.1'!$H$4:$H$217,_xlfn.XLOOKUP(B73,'1.4 V3 CH7 T7.8'!$B$4:$B$54,'1.4 V3 CH7 T7.8'!$O$4:$O$54,"No se encuentra"))</f>
        <v>6630</v>
      </c>
      <c r="H73" s="501" t="str">
        <f t="shared" si="28"/>
        <v>kgCO2e/kilogramos</v>
      </c>
      <c r="I73" s="79" t="s">
        <v>723</v>
      </c>
    </row>
    <row r="74" spans="2:9">
      <c r="B74" s="79" t="s">
        <v>730</v>
      </c>
      <c r="C74" s="408" t="s">
        <v>152</v>
      </c>
      <c r="D74" s="79" t="s">
        <v>722</v>
      </c>
      <c r="E74" s="79" t="s">
        <v>730</v>
      </c>
      <c r="F74" s="408" t="s">
        <v>107</v>
      </c>
      <c r="G74" s="363">
        <f>_xlfn.XLOOKUP(B74,'1.4 AR5 CH8  T8.A.1'!$A$4:$A$217,'1.4 AR5 CH8  T8.A.1'!$H$4:$H$217,_xlfn.XLOOKUP(B74,'1.4 V3 CH7 T7.8'!$B$4:$B$54,'1.4 V3 CH7 T7.8'!$O$4:$O$54,"No se encuentra"))</f>
        <v>8550</v>
      </c>
      <c r="H74" s="501" t="str">
        <f t="shared" si="28"/>
        <v>kgCO2e/kilogramos</v>
      </c>
      <c r="I74" s="79" t="s">
        <v>723</v>
      </c>
    </row>
    <row r="75" spans="2:9">
      <c r="B75" s="79" t="s">
        <v>153</v>
      </c>
      <c r="C75" s="79" t="s">
        <v>153</v>
      </c>
      <c r="D75" s="79" t="s">
        <v>722</v>
      </c>
      <c r="E75" s="79" t="s">
        <v>153</v>
      </c>
      <c r="F75" s="408" t="s">
        <v>107</v>
      </c>
      <c r="G75" s="363">
        <f>_xlfn.XLOOKUP(B75,'1.4 AR5 CH8  T8.A.1'!$A$4:$A$217,'1.4 AR5 CH8  T8.A.1'!$H$4:$H$217,_xlfn.XLOOKUP(B75,'1.4 V3 CH7 T7.8'!$B$4:$B$54,'1.4 V3 CH7 T7.8'!$O$4:$O$54,"No se encuentra"))</f>
        <v>3170</v>
      </c>
      <c r="H75" s="501" t="str">
        <f t="shared" si="28"/>
        <v>kgCO2e/kilogramos</v>
      </c>
      <c r="I75" s="79" t="s">
        <v>723</v>
      </c>
    </row>
    <row r="76" spans="2:9">
      <c r="B76" s="79" t="s">
        <v>731</v>
      </c>
      <c r="C76" s="408" t="s">
        <v>154</v>
      </c>
      <c r="D76" s="79" t="s">
        <v>722</v>
      </c>
      <c r="E76" s="79" t="s">
        <v>731</v>
      </c>
      <c r="F76" s="408" t="s">
        <v>107</v>
      </c>
      <c r="G76" s="363">
        <f>_xlfn.XLOOKUP(B76,'1.4 AR5 CH8  T8.A.1'!$A$4:$A$217,'1.4 AR5 CH8  T8.A.1'!$H$4:$H$217,_xlfn.XLOOKUP(B76,'1.4 V3 CH7 T7.8'!$B$4:$B$54,'1.4 V3 CH7 T7.8'!$O$4:$O$54,"No se encuentra"))</f>
        <v>8900</v>
      </c>
      <c r="H76" s="501" t="str">
        <f t="shared" si="28"/>
        <v>kgCO2e/kilogramos</v>
      </c>
      <c r="I76" s="79" t="s">
        <v>723</v>
      </c>
    </row>
    <row r="77" spans="2:9">
      <c r="B77" s="408" t="s">
        <v>732</v>
      </c>
      <c r="C77" s="408" t="s">
        <v>155</v>
      </c>
      <c r="D77" s="79" t="s">
        <v>722</v>
      </c>
      <c r="E77" s="408" t="s">
        <v>732</v>
      </c>
      <c r="F77" s="408" t="s">
        <v>107</v>
      </c>
      <c r="G77" s="363">
        <f>_xlfn.XLOOKUP(B77,'1.4 AR5 CH8  T8.A.1'!$A$4:$A$217,'1.4 AR5 CH8  T8.A.1'!$H$4:$H$217,_xlfn.XLOOKUP(B77,'1.4 V3 CH7 T7.8'!$B$4:$B$54,'1.4 V3 CH7 T7.8'!$O$4:$O$54,"No se encuentra"))</f>
        <v>23500</v>
      </c>
      <c r="H77" s="501" t="str">
        <f t="shared" si="28"/>
        <v>kgCO2e/kilogramos</v>
      </c>
      <c r="I77" s="79" t="s">
        <v>723</v>
      </c>
    </row>
    <row r="78" spans="2:9">
      <c r="B78" s="408" t="s">
        <v>733</v>
      </c>
      <c r="C78" s="79" t="s">
        <v>156</v>
      </c>
      <c r="D78" s="79" t="s">
        <v>722</v>
      </c>
      <c r="E78" s="408" t="s">
        <v>733</v>
      </c>
      <c r="F78" s="408" t="s">
        <v>107</v>
      </c>
      <c r="G78" s="363">
        <f>_xlfn.XLOOKUP(B78,'1.4 AR5 CH8  T8.A.1'!$A$4:$A$217,'1.4 AR5 CH8  T8.A.1'!$H$4:$H$217,_xlfn.XLOOKUP(B78,'1.4 V3 CH7 T7.8'!$B$4:$B$54,'1.4 V3 CH7 T7.8'!$O$4:$O$54,"No se encuentra"))</f>
        <v>28</v>
      </c>
      <c r="H78" s="501" t="str">
        <f t="shared" si="28"/>
        <v>kgCO2e/kilogramos</v>
      </c>
      <c r="I78" s="79" t="s">
        <v>723</v>
      </c>
    </row>
    <row r="79" spans="2:9">
      <c r="B79" s="408" t="s">
        <v>734</v>
      </c>
      <c r="C79" s="408" t="s">
        <v>157</v>
      </c>
      <c r="D79" s="79" t="s">
        <v>722</v>
      </c>
      <c r="E79" s="408" t="s">
        <v>734</v>
      </c>
      <c r="F79" s="408" t="s">
        <v>107</v>
      </c>
      <c r="G79" s="363">
        <f>_xlfn.XLOOKUP(B79,'1.4 AR5 CH8  T8.A.1'!$A$4:$A$217,'1.4 AR5 CH8  T8.A.1'!$H$4:$H$217,_xlfn.XLOOKUP(B79,'1.4 V3 CH7 T7.8'!$B$4:$B$54,'1.4 V3 CH7 T7.8'!$O$4:$O$54,"No se encuentra"))</f>
        <v>16100</v>
      </c>
      <c r="H79" s="501" t="str">
        <f t="shared" si="28"/>
        <v>kgCO2e/kilogramos</v>
      </c>
      <c r="I79" s="79" t="s">
        <v>723</v>
      </c>
    </row>
    <row r="80" spans="2:9">
      <c r="B80" s="79" t="s">
        <v>158</v>
      </c>
      <c r="C80" s="79" t="s">
        <v>158</v>
      </c>
      <c r="D80" s="79" t="s">
        <v>722</v>
      </c>
      <c r="E80" s="79" t="s">
        <v>158</v>
      </c>
      <c r="F80" s="408" t="s">
        <v>107</v>
      </c>
      <c r="G80" s="363">
        <f>_xlfn.XLOOKUP(B80,'1.4 AR5 CH8  T8.A.1'!$A$4:$A$217,'1.4 AR5 CH8  T8.A.1'!$H$4:$H$217,_xlfn.XLOOKUP(B80,'1.4 V3 CH7 T7.8'!$B$4:$B$54,'1.4 V3 CH7 T7.8'!$O$4:$O$54,"No se encuentra"))</f>
        <v>3942.8</v>
      </c>
      <c r="H80" s="501" t="str">
        <f t="shared" si="28"/>
        <v>kgCO2e/kilogramos</v>
      </c>
      <c r="I80" s="79" t="s">
        <v>723</v>
      </c>
    </row>
    <row r="81" spans="2:9">
      <c r="B81" s="79" t="s">
        <v>159</v>
      </c>
      <c r="C81" s="79" t="s">
        <v>159</v>
      </c>
      <c r="D81" s="79" t="s">
        <v>722</v>
      </c>
      <c r="E81" s="79" t="s">
        <v>159</v>
      </c>
      <c r="F81" s="408" t="s">
        <v>107</v>
      </c>
      <c r="G81" s="363">
        <f>_xlfn.XLOOKUP(B81,'1.4 AR5 CH8  T8.A.1'!$A$4:$A$217,'1.4 AR5 CH8  T8.A.1'!$H$4:$H$217,_xlfn.XLOOKUP(B81,'1.4 V3 CH7 T7.8'!$B$4:$B$54,'1.4 V3 CH7 T7.8'!$O$4:$O$54,"No se encuentra"))</f>
        <v>1923.4</v>
      </c>
      <c r="H81" s="501" t="str">
        <f t="shared" si="28"/>
        <v>kgCO2e/kilogramos</v>
      </c>
      <c r="I81" s="79" t="s">
        <v>723</v>
      </c>
    </row>
    <row r="82" spans="2:9">
      <c r="B82" s="79" t="s">
        <v>160</v>
      </c>
      <c r="C82" s="79" t="s">
        <v>160</v>
      </c>
      <c r="D82" s="79" t="s">
        <v>722</v>
      </c>
      <c r="E82" s="79" t="s">
        <v>160</v>
      </c>
      <c r="F82" s="408" t="s">
        <v>107</v>
      </c>
      <c r="G82" s="363">
        <f>_xlfn.XLOOKUP(B82,'1.4 AR5 CH8  T8.A.1'!$A$4:$A$217,'1.4 AR5 CH8  T8.A.1'!$H$4:$H$217,_xlfn.XLOOKUP(B82,'1.4 V3 CH7 T7.8'!$B$4:$B$54,'1.4 V3 CH7 T7.8'!$O$4:$O$54,"No se encuentra"))</f>
        <v>2546.6999999999998</v>
      </c>
      <c r="H82" s="501" t="str">
        <f t="shared" si="28"/>
        <v>kgCO2e/kilogramos</v>
      </c>
      <c r="I82" s="79" t="s">
        <v>723</v>
      </c>
    </row>
    <row r="83" spans="2:9">
      <c r="B83" s="79" t="s">
        <v>161</v>
      </c>
      <c r="C83" s="79" t="s">
        <v>161</v>
      </c>
      <c r="D83" s="79" t="s">
        <v>722</v>
      </c>
      <c r="E83" s="79" t="s">
        <v>161</v>
      </c>
      <c r="F83" s="408" t="s">
        <v>107</v>
      </c>
      <c r="G83" s="363">
        <f>_xlfn.XLOOKUP(B83,'1.4 AR5 CH8  T8.A.1'!$A$4:$A$217,'1.4 AR5 CH8  T8.A.1'!$H$4:$H$217,_xlfn.XLOOKUP(B83,'1.4 V3 CH7 T7.8'!$B$4:$B$54,'1.4 V3 CH7 T7.8'!$O$4:$O$54,"No se encuentra"))</f>
        <v>1624.21</v>
      </c>
      <c r="H83" s="501" t="str">
        <f t="shared" si="28"/>
        <v>kgCO2e/kilogramos</v>
      </c>
      <c r="I83" s="79" t="s">
        <v>723</v>
      </c>
    </row>
    <row r="84" spans="2:9">
      <c r="B84" s="79" t="s">
        <v>162</v>
      </c>
      <c r="C84" s="79" t="s">
        <v>162</v>
      </c>
      <c r="D84" s="79" t="s">
        <v>722</v>
      </c>
      <c r="E84" s="79" t="s">
        <v>162</v>
      </c>
      <c r="F84" s="408" t="s">
        <v>107</v>
      </c>
      <c r="G84" s="363">
        <f>_xlfn.XLOOKUP(B84,'1.4 AR5 CH8  T8.A.1'!$A$4:$A$217,'1.4 AR5 CH8  T8.A.1'!$H$4:$H$217,_xlfn.XLOOKUP(B84,'1.4 V3 CH7 T7.8'!$B$4:$B$54,'1.4 V3 CH7 T7.8'!$O$4:$O$54,"No se encuentra"))</f>
        <v>1923.5</v>
      </c>
      <c r="H84" s="501" t="str">
        <f t="shared" si="28"/>
        <v>kgCO2e/kilogramos</v>
      </c>
      <c r="I84" s="79" t="s">
        <v>723</v>
      </c>
    </row>
    <row r="85" spans="2:9">
      <c r="B85" s="79" t="s">
        <v>163</v>
      </c>
      <c r="C85" s="79" t="s">
        <v>163</v>
      </c>
      <c r="D85" s="79" t="s">
        <v>722</v>
      </c>
      <c r="E85" s="79" t="s">
        <v>163</v>
      </c>
      <c r="F85" s="408" t="s">
        <v>107</v>
      </c>
      <c r="G85" s="363">
        <f>_xlfn.XLOOKUP(B85,'1.4 AR5 CH8  T8.A.1'!$A$4:$A$217,'1.4 AR5 CH8  T8.A.1'!$H$4:$H$217,_xlfn.XLOOKUP(B85,'1.4 V3 CH7 T7.8'!$B$4:$B$54,'1.4 V3 CH7 T7.8'!$O$4:$O$54,"No se encuentra"))</f>
        <v>2048.15</v>
      </c>
      <c r="H85" s="501" t="str">
        <f t="shared" si="28"/>
        <v>kgCO2e/kilogramos</v>
      </c>
      <c r="I85" s="79" t="s">
        <v>723</v>
      </c>
    </row>
    <row r="86" spans="2:9">
      <c r="B86" s="79" t="s">
        <v>164</v>
      </c>
      <c r="C86" s="79" t="s">
        <v>164</v>
      </c>
      <c r="D86" s="79" t="s">
        <v>722</v>
      </c>
      <c r="E86" s="79" t="s">
        <v>164</v>
      </c>
      <c r="F86" s="408" t="s">
        <v>107</v>
      </c>
      <c r="G86" s="363">
        <f>_xlfn.XLOOKUP(B86,'1.4 AR5 CH8  T8.A.1'!$A$4:$A$217,'1.4 AR5 CH8  T8.A.1'!$H$4:$H$217,_xlfn.XLOOKUP(B86,'1.4 V3 CH7 T7.8'!$B$4:$B$54,'1.4 V3 CH7 T7.8'!$O$4:$O$54,"No se encuentra"))</f>
        <v>1120</v>
      </c>
      <c r="H86" s="501" t="str">
        <f t="shared" si="28"/>
        <v>kgCO2e/kilogramos</v>
      </c>
      <c r="I86" s="79" t="s">
        <v>723</v>
      </c>
    </row>
    <row r="87" spans="2:9">
      <c r="B87" s="79" t="s">
        <v>735</v>
      </c>
      <c r="C87" s="79" t="s">
        <v>165</v>
      </c>
      <c r="D87" s="79" t="s">
        <v>722</v>
      </c>
      <c r="E87" s="79" t="s">
        <v>735</v>
      </c>
      <c r="F87" s="408" t="s">
        <v>107</v>
      </c>
      <c r="G87" s="363">
        <f>_xlfn.XLOOKUP(B87,'1.4 AR5 CH8  T8.A.1'!$A$4:$A$217,'1.4 AR5 CH8  T8.A.1'!$H$4:$H$217,_xlfn.XLOOKUP(B87,'1.4 V3 CH7 T7.8'!$B$4:$B$54,'1.4 V3 CH7 T7.8'!$O$4:$O$54,"No se encuentra"))</f>
        <v>3985</v>
      </c>
      <c r="H87" s="501" t="str">
        <f t="shared" si="28"/>
        <v>kgCO2e/kilogramos</v>
      </c>
      <c r="I87" s="79" t="s">
        <v>723</v>
      </c>
    </row>
    <row r="88" spans="2:9">
      <c r="B88" s="79" t="s">
        <v>166</v>
      </c>
      <c r="C88" s="79" t="s">
        <v>166</v>
      </c>
      <c r="D88" s="79" t="s">
        <v>722</v>
      </c>
      <c r="E88" s="79" t="s">
        <v>166</v>
      </c>
      <c r="F88" s="408" t="s">
        <v>107</v>
      </c>
      <c r="G88" s="363">
        <f>_xlfn.XLOOKUP(B88,'1.4 AR5 CH8  T8.A.1'!$A$4:$A$217,'1.4 AR5 CH8  T8.A.1'!$H$4:$H$217,_xlfn.XLOOKUP(B88,'1.4 V3 CH7 T7.8'!$B$4:$B$54,'1.4 V3 CH7 T7.8'!$O$4:$O$54,"No se encuentra"))</f>
        <v>11607</v>
      </c>
      <c r="H88" s="501" t="str">
        <f t="shared" si="28"/>
        <v>kgCO2e/kilogramos</v>
      </c>
      <c r="I88" s="79" t="s">
        <v>723</v>
      </c>
    </row>
    <row r="89" spans="2:9">
      <c r="B89" s="79" t="s">
        <v>167</v>
      </c>
      <c r="C89" s="79" t="s">
        <v>167</v>
      </c>
      <c r="D89" s="79" t="s">
        <v>722</v>
      </c>
      <c r="E89" s="79" t="s">
        <v>167</v>
      </c>
      <c r="F89" s="408" t="s">
        <v>107</v>
      </c>
      <c r="G89" s="363">
        <f>_xlfn.XLOOKUP(B89,'1.4 AR5 CH8  T8.A.1'!$A$4:$A$217,'1.4 AR5 CH8  T8.A.1'!$H$4:$H$217,_xlfn.XLOOKUP(B89,'1.4 V3 CH7 T7.8'!$B$4:$B$54,'1.4 V3 CH7 T7.8'!$O$4:$O$54,"No se encuentra"))</f>
        <v>11698</v>
      </c>
      <c r="H89" s="501" t="str">
        <f t="shared" si="28"/>
        <v>kgCO2e/kilogramos</v>
      </c>
      <c r="I89" s="79" t="s">
        <v>723</v>
      </c>
    </row>
    <row r="90" spans="2:9">
      <c r="B90" s="79" t="s">
        <v>169</v>
      </c>
      <c r="C90" s="79" t="s">
        <v>169</v>
      </c>
      <c r="D90" s="79" t="s">
        <v>722</v>
      </c>
      <c r="E90" s="79" t="s">
        <v>169</v>
      </c>
      <c r="F90" s="408" t="s">
        <v>107</v>
      </c>
      <c r="G90" s="363">
        <f>_xlfn.XLOOKUP(B90,'1.4 AR5 CH8  T8.A.1'!$A$4:$A$217,'1.4 AR5 CH8  T8.A.1'!$H$4:$H$217,_xlfn.XLOOKUP(B90,'1.4 V3 CH7 T7.8'!$B$4:$B$54,'1.4 V3 CH7 T7.8'!$O$4:$O$54,"No se encuentra"))</f>
        <v>1300</v>
      </c>
      <c r="H90" s="501" t="str">
        <f t="shared" si="28"/>
        <v>kgCO2e/kilogramos</v>
      </c>
      <c r="I90" s="79" t="s">
        <v>723</v>
      </c>
    </row>
  </sheetData>
  <sheetProtection algorithmName="SHA-512" hashValue="HfjQPsTR7mXZowW2G7//ge5OL0yll96MBiBTTzhVdRK/csu4/3WOZvLBzb1TWRqIg3+VIvVUgxa/S52gv951jQ==" saltValue="zKitFsKGhaaMOr+Njp6u7A==" spinCount="100000" sheet="1" objects="1" scenarios="1" autoFilter="0"/>
  <autoFilter ref="B15:AF48" xr:uid="{00000000-0001-0000-2A00-000000000000}"/>
  <mergeCells count="2">
    <mergeCell ref="T14:W14"/>
    <mergeCell ref="X14:AC1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B2:H97"/>
  <sheetViews>
    <sheetView showGridLines="0" workbookViewId="0"/>
  </sheetViews>
  <sheetFormatPr baseColWidth="10" defaultColWidth="11.44140625" defaultRowHeight="14.4"/>
  <cols>
    <col min="1" max="1" width="3.88671875" customWidth="1"/>
    <col min="2" max="2" width="22.33203125" customWidth="1"/>
    <col min="3" max="3" width="43.88671875" bestFit="1" customWidth="1"/>
    <col min="4" max="4" width="60.109375" bestFit="1" customWidth="1"/>
    <col min="5" max="5" width="19.6640625" customWidth="1"/>
    <col min="6" max="6" width="12" bestFit="1" customWidth="1"/>
    <col min="7" max="7" width="17.88671875" bestFit="1" customWidth="1"/>
    <col min="8" max="8" width="25" bestFit="1" customWidth="1"/>
  </cols>
  <sheetData>
    <row r="2" spans="2:8">
      <c r="B2" s="1" t="s">
        <v>358</v>
      </c>
    </row>
    <row r="3" spans="2:8">
      <c r="B3" s="1" t="s">
        <v>210</v>
      </c>
    </row>
    <row r="4" spans="2:8">
      <c r="B4" s="1" t="s">
        <v>2174</v>
      </c>
    </row>
    <row r="6" spans="2:8" ht="43.2">
      <c r="B6" s="71" t="s">
        <v>2175</v>
      </c>
      <c r="C6" s="71" t="s">
        <v>2169</v>
      </c>
      <c r="D6" s="71" t="s">
        <v>1543</v>
      </c>
      <c r="E6" s="71" t="s">
        <v>93</v>
      </c>
      <c r="F6" s="71" t="s">
        <v>1865</v>
      </c>
      <c r="G6" s="71" t="s">
        <v>1547</v>
      </c>
      <c r="H6" s="71" t="s">
        <v>346</v>
      </c>
    </row>
    <row r="7" spans="2:8">
      <c r="B7" s="402" t="s">
        <v>319</v>
      </c>
      <c r="C7" s="402" t="s">
        <v>320</v>
      </c>
      <c r="D7" s="72" t="s">
        <v>2176</v>
      </c>
      <c r="E7" s="72" t="s">
        <v>106</v>
      </c>
      <c r="F7" s="339">
        <f>'3.6 Waste disposal'!F24</f>
        <v>0.98485</v>
      </c>
      <c r="G7" s="109" t="str">
        <f>"kgCO2e/"&amp;E7</f>
        <v>kgCO2e/toneladas</v>
      </c>
      <c r="H7" s="402" t="s">
        <v>2177</v>
      </c>
    </row>
    <row r="8" spans="2:8">
      <c r="B8" s="402" t="s">
        <v>319</v>
      </c>
      <c r="C8" s="402" t="s">
        <v>320</v>
      </c>
      <c r="D8" s="72" t="s">
        <v>2176</v>
      </c>
      <c r="E8" s="72" t="s">
        <v>107</v>
      </c>
      <c r="F8" s="109">
        <f>'3.6 Waste disposal'!F24/1000</f>
        <v>9.8485E-4</v>
      </c>
      <c r="G8" s="109" t="str">
        <f t="shared" ref="G8:G78" si="0">"kgCO2e/"&amp;E8</f>
        <v>kgCO2e/kilogramos</v>
      </c>
      <c r="H8" s="402" t="s">
        <v>2177</v>
      </c>
    </row>
    <row r="9" spans="2:8">
      <c r="B9" s="402" t="s">
        <v>319</v>
      </c>
      <c r="C9" s="402" t="s">
        <v>320</v>
      </c>
      <c r="D9" s="72" t="s">
        <v>2176</v>
      </c>
      <c r="E9" s="72" t="s">
        <v>108</v>
      </c>
      <c r="F9" s="109">
        <f>'3.6 Waste disposal'!F24/1000000</f>
        <v>9.8484999999999998E-7</v>
      </c>
      <c r="G9" s="109" t="str">
        <f t="shared" si="0"/>
        <v>kgCO2e/gramos</v>
      </c>
      <c r="H9" s="402" t="s">
        <v>2177</v>
      </c>
    </row>
    <row r="10" spans="2:8">
      <c r="B10" s="402" t="s">
        <v>319</v>
      </c>
      <c r="C10" s="402" t="s">
        <v>321</v>
      </c>
      <c r="D10" s="72" t="s">
        <v>2178</v>
      </c>
      <c r="E10" s="72" t="s">
        <v>106</v>
      </c>
      <c r="F10" s="339">
        <f>'3.6 Waste disposal'!F74</f>
        <v>6.4106100000000001</v>
      </c>
      <c r="G10" s="109" t="str">
        <f t="shared" si="0"/>
        <v>kgCO2e/toneladas</v>
      </c>
      <c r="H10" s="402" t="s">
        <v>2177</v>
      </c>
    </row>
    <row r="11" spans="2:8">
      <c r="B11" s="402" t="s">
        <v>319</v>
      </c>
      <c r="C11" s="402" t="s">
        <v>321</v>
      </c>
      <c r="D11" s="72" t="s">
        <v>2178</v>
      </c>
      <c r="E11" s="72" t="s">
        <v>107</v>
      </c>
      <c r="F11" s="109">
        <f>'3.6 Waste disposal'!F74/1000</f>
        <v>6.4106099999999997E-3</v>
      </c>
      <c r="G11" s="109" t="str">
        <f t="shared" si="0"/>
        <v>kgCO2e/kilogramos</v>
      </c>
      <c r="H11" s="402" t="s">
        <v>2177</v>
      </c>
    </row>
    <row r="12" spans="2:8">
      <c r="B12" s="402" t="s">
        <v>319</v>
      </c>
      <c r="C12" s="402" t="s">
        <v>321</v>
      </c>
      <c r="D12" s="72" t="s">
        <v>2178</v>
      </c>
      <c r="E12" s="72" t="s">
        <v>108</v>
      </c>
      <c r="F12" s="109">
        <f>'3.6 Waste disposal'!F74/1000000</f>
        <v>6.4106099999999999E-6</v>
      </c>
      <c r="G12" s="109" t="str">
        <f t="shared" si="0"/>
        <v>kgCO2e/gramos</v>
      </c>
      <c r="H12" s="402" t="s">
        <v>2177</v>
      </c>
    </row>
    <row r="13" spans="2:8">
      <c r="B13" s="402" t="s">
        <v>319</v>
      </c>
      <c r="C13" s="402" t="s">
        <v>322</v>
      </c>
      <c r="D13" s="72" t="s">
        <v>2179</v>
      </c>
      <c r="E13" s="72" t="s">
        <v>106</v>
      </c>
      <c r="F13" s="339">
        <f>'3.6 Waste disposal'!F77</f>
        <v>6.4106100000000001</v>
      </c>
      <c r="G13" s="109" t="str">
        <f t="shared" si="0"/>
        <v>kgCO2e/toneladas</v>
      </c>
      <c r="H13" s="402" t="s">
        <v>2177</v>
      </c>
    </row>
    <row r="14" spans="2:8">
      <c r="B14" s="402" t="s">
        <v>319</v>
      </c>
      <c r="C14" s="402" t="s">
        <v>322</v>
      </c>
      <c r="D14" s="72" t="s">
        <v>2179</v>
      </c>
      <c r="E14" s="72" t="s">
        <v>107</v>
      </c>
      <c r="F14" s="109">
        <f>'3.6 Waste disposal'!F77/1000</f>
        <v>6.4106099999999997E-3</v>
      </c>
      <c r="G14" s="109" t="str">
        <f t="shared" si="0"/>
        <v>kgCO2e/kilogramos</v>
      </c>
      <c r="H14" s="402" t="s">
        <v>2177</v>
      </c>
    </row>
    <row r="15" spans="2:8">
      <c r="B15" s="402" t="s">
        <v>319</v>
      </c>
      <c r="C15" s="402" t="s">
        <v>322</v>
      </c>
      <c r="D15" s="72" t="s">
        <v>2179</v>
      </c>
      <c r="E15" s="72" t="s">
        <v>108</v>
      </c>
      <c r="F15" s="109">
        <f>'3.6 Waste disposal'!F77/1000000</f>
        <v>6.4106099999999999E-6</v>
      </c>
      <c r="G15" s="109" t="str">
        <f t="shared" si="0"/>
        <v>kgCO2e/gramos</v>
      </c>
      <c r="H15" s="402" t="s">
        <v>2177</v>
      </c>
    </row>
    <row r="16" spans="2:8">
      <c r="B16" s="402" t="s">
        <v>319</v>
      </c>
      <c r="C16" s="402" t="s">
        <v>323</v>
      </c>
      <c r="D16" s="72" t="s">
        <v>2180</v>
      </c>
      <c r="E16" s="72" t="s">
        <v>106</v>
      </c>
      <c r="F16" s="339">
        <f>'3.6 Waste disposal'!F78</f>
        <v>6.4106100000000001</v>
      </c>
      <c r="G16" s="109" t="str">
        <f t="shared" si="0"/>
        <v>kgCO2e/toneladas</v>
      </c>
      <c r="H16" s="402" t="s">
        <v>2177</v>
      </c>
    </row>
    <row r="17" spans="2:8">
      <c r="B17" s="402" t="s">
        <v>319</v>
      </c>
      <c r="C17" s="402" t="s">
        <v>323</v>
      </c>
      <c r="D17" s="72" t="s">
        <v>2180</v>
      </c>
      <c r="E17" s="72" t="s">
        <v>107</v>
      </c>
      <c r="F17" s="109">
        <f>'3.6 Waste disposal'!F78/1000</f>
        <v>6.4106099999999997E-3</v>
      </c>
      <c r="G17" s="109" t="str">
        <f>"kgCO2e/"&amp;E17</f>
        <v>kgCO2e/kilogramos</v>
      </c>
      <c r="H17" s="402" t="s">
        <v>2177</v>
      </c>
    </row>
    <row r="18" spans="2:8">
      <c r="B18" s="402" t="s">
        <v>319</v>
      </c>
      <c r="C18" s="402" t="s">
        <v>323</v>
      </c>
      <c r="D18" s="72" t="s">
        <v>2180</v>
      </c>
      <c r="E18" s="72" t="s">
        <v>108</v>
      </c>
      <c r="F18" s="109">
        <f>'3.6 Waste disposal'!F78/1000000</f>
        <v>6.4106099999999999E-6</v>
      </c>
      <c r="G18" s="109" t="str">
        <f t="shared" si="0"/>
        <v>kgCO2e/gramos</v>
      </c>
      <c r="H18" s="402" t="s">
        <v>2177</v>
      </c>
    </row>
    <row r="19" spans="2:8">
      <c r="B19" s="402" t="s">
        <v>319</v>
      </c>
      <c r="C19" s="402" t="s">
        <v>324</v>
      </c>
      <c r="D19" s="72" t="s">
        <v>2181</v>
      </c>
      <c r="E19" s="72" t="s">
        <v>106</v>
      </c>
      <c r="F19" s="339">
        <f>'3.6 Waste disposal'!F79</f>
        <v>6.4106100000000001</v>
      </c>
      <c r="G19" s="109" t="str">
        <f t="shared" si="0"/>
        <v>kgCO2e/toneladas</v>
      </c>
      <c r="H19" s="402" t="s">
        <v>2177</v>
      </c>
    </row>
    <row r="20" spans="2:8">
      <c r="B20" s="402" t="s">
        <v>319</v>
      </c>
      <c r="C20" s="402" t="s">
        <v>324</v>
      </c>
      <c r="D20" s="72" t="s">
        <v>2181</v>
      </c>
      <c r="E20" s="72" t="s">
        <v>107</v>
      </c>
      <c r="F20" s="109">
        <f>'3.6 Waste disposal'!F79/1000</f>
        <v>6.4106099999999997E-3</v>
      </c>
      <c r="G20" s="109" t="str">
        <f t="shared" si="0"/>
        <v>kgCO2e/kilogramos</v>
      </c>
      <c r="H20" s="402" t="s">
        <v>2177</v>
      </c>
    </row>
    <row r="21" spans="2:8">
      <c r="B21" s="402" t="s">
        <v>319</v>
      </c>
      <c r="C21" s="402" t="s">
        <v>324</v>
      </c>
      <c r="D21" s="72" t="s">
        <v>2181</v>
      </c>
      <c r="E21" s="72" t="s">
        <v>108</v>
      </c>
      <c r="F21" s="109">
        <f>'3.6 Waste disposal'!F79/1000000</f>
        <v>6.4106099999999999E-6</v>
      </c>
      <c r="G21" s="109" t="str">
        <f t="shared" si="0"/>
        <v>kgCO2e/gramos</v>
      </c>
      <c r="H21" s="402" t="s">
        <v>2177</v>
      </c>
    </row>
    <row r="22" spans="2:8">
      <c r="B22" s="402" t="s">
        <v>319</v>
      </c>
      <c r="C22" s="402" t="s">
        <v>325</v>
      </c>
      <c r="D22" s="72" t="s">
        <v>2182</v>
      </c>
      <c r="E22" s="72" t="s">
        <v>106</v>
      </c>
      <c r="F22" s="339">
        <f>'3.6 Waste disposal'!F80</f>
        <v>6.4106100000000001</v>
      </c>
      <c r="G22" s="109" t="str">
        <f t="shared" si="0"/>
        <v>kgCO2e/toneladas</v>
      </c>
      <c r="H22" s="402" t="s">
        <v>2177</v>
      </c>
    </row>
    <row r="23" spans="2:8">
      <c r="B23" s="402" t="s">
        <v>319</v>
      </c>
      <c r="C23" s="402" t="s">
        <v>325</v>
      </c>
      <c r="D23" s="72" t="s">
        <v>2182</v>
      </c>
      <c r="E23" s="72" t="s">
        <v>107</v>
      </c>
      <c r="F23" s="109">
        <f>'3.6 Waste disposal'!F80/1000</f>
        <v>6.4106099999999997E-3</v>
      </c>
      <c r="G23" s="109" t="str">
        <f t="shared" si="0"/>
        <v>kgCO2e/kilogramos</v>
      </c>
      <c r="H23" s="402" t="s">
        <v>2177</v>
      </c>
    </row>
    <row r="24" spans="2:8">
      <c r="B24" s="402" t="s">
        <v>319</v>
      </c>
      <c r="C24" s="402" t="s">
        <v>325</v>
      </c>
      <c r="D24" s="72" t="s">
        <v>2182</v>
      </c>
      <c r="E24" s="72" t="s">
        <v>108</v>
      </c>
      <c r="F24" s="109">
        <f>'3.6 Waste disposal'!F80/1000000</f>
        <v>6.4106099999999999E-6</v>
      </c>
      <c r="G24" s="109" t="str">
        <f t="shared" si="0"/>
        <v>kgCO2e/gramos</v>
      </c>
      <c r="H24" s="402" t="s">
        <v>2177</v>
      </c>
    </row>
    <row r="25" spans="2:8">
      <c r="B25" s="402" t="s">
        <v>319</v>
      </c>
      <c r="C25" s="402" t="s">
        <v>326</v>
      </c>
      <c r="D25" s="72" t="s">
        <v>2183</v>
      </c>
      <c r="E25" s="72" t="s">
        <v>106</v>
      </c>
      <c r="F25" s="339">
        <f>'3.6 Waste disposal'!F81</f>
        <v>6.4106100000000001</v>
      </c>
      <c r="G25" s="109" t="str">
        <f t="shared" si="0"/>
        <v>kgCO2e/toneladas</v>
      </c>
      <c r="H25" s="402" t="s">
        <v>2177</v>
      </c>
    </row>
    <row r="26" spans="2:8">
      <c r="B26" s="402" t="s">
        <v>319</v>
      </c>
      <c r="C26" s="402" t="s">
        <v>326</v>
      </c>
      <c r="D26" s="72" t="s">
        <v>2183</v>
      </c>
      <c r="E26" s="72" t="s">
        <v>107</v>
      </c>
      <c r="F26" s="109">
        <f>'3.6 Waste disposal'!F81/1000</f>
        <v>6.4106099999999997E-3</v>
      </c>
      <c r="G26" s="109" t="str">
        <f t="shared" si="0"/>
        <v>kgCO2e/kilogramos</v>
      </c>
      <c r="H26" s="402" t="s">
        <v>2177</v>
      </c>
    </row>
    <row r="27" spans="2:8">
      <c r="B27" s="402" t="s">
        <v>319</v>
      </c>
      <c r="C27" s="402" t="s">
        <v>326</v>
      </c>
      <c r="D27" s="72" t="s">
        <v>2183</v>
      </c>
      <c r="E27" s="72" t="s">
        <v>108</v>
      </c>
      <c r="F27" s="109">
        <f>'3.6 Waste disposal'!F81/1000000</f>
        <v>6.4106099999999999E-6</v>
      </c>
      <c r="G27" s="109" t="str">
        <f t="shared" si="0"/>
        <v>kgCO2e/gramos</v>
      </c>
      <c r="H27" s="402" t="s">
        <v>2177</v>
      </c>
    </row>
    <row r="28" spans="2:8">
      <c r="B28" s="402" t="s">
        <v>319</v>
      </c>
      <c r="C28" s="402" t="s">
        <v>327</v>
      </c>
      <c r="D28" s="72" t="s">
        <v>2184</v>
      </c>
      <c r="E28" s="72" t="s">
        <v>106</v>
      </c>
      <c r="F28" s="339">
        <f>'3.6 Waste disposal'!F82</f>
        <v>6.4106100000000001</v>
      </c>
      <c r="G28" s="109" t="str">
        <f t="shared" si="0"/>
        <v>kgCO2e/toneladas</v>
      </c>
      <c r="H28" s="402" t="s">
        <v>2177</v>
      </c>
    </row>
    <row r="29" spans="2:8">
      <c r="B29" s="402" t="s">
        <v>319</v>
      </c>
      <c r="C29" s="402" t="s">
        <v>327</v>
      </c>
      <c r="D29" s="72" t="s">
        <v>2184</v>
      </c>
      <c r="E29" s="72" t="s">
        <v>107</v>
      </c>
      <c r="F29" s="109">
        <f>'3.6 Waste disposal'!F82/1000</f>
        <v>6.4106099999999997E-3</v>
      </c>
      <c r="G29" s="109" t="str">
        <f t="shared" si="0"/>
        <v>kgCO2e/kilogramos</v>
      </c>
      <c r="H29" s="402" t="s">
        <v>2177</v>
      </c>
    </row>
    <row r="30" spans="2:8">
      <c r="B30" s="402" t="s">
        <v>319</v>
      </c>
      <c r="C30" s="402" t="s">
        <v>327</v>
      </c>
      <c r="D30" s="72" t="s">
        <v>2184</v>
      </c>
      <c r="E30" s="72" t="s">
        <v>108</v>
      </c>
      <c r="F30" s="109">
        <f>'3.6 Waste disposal'!F82/1000000</f>
        <v>6.4106099999999999E-6</v>
      </c>
      <c r="G30" s="109" t="str">
        <f t="shared" si="0"/>
        <v>kgCO2e/gramos</v>
      </c>
      <c r="H30" s="402" t="s">
        <v>2177</v>
      </c>
    </row>
    <row r="31" spans="2:8">
      <c r="B31" s="402" t="s">
        <v>319</v>
      </c>
      <c r="C31" s="402" t="s">
        <v>236</v>
      </c>
      <c r="D31" s="72" t="s">
        <v>2185</v>
      </c>
      <c r="E31" s="72" t="s">
        <v>106</v>
      </c>
      <c r="F31" s="339">
        <f>'3.6 Waste disposal'!F43</f>
        <v>6.4106100000000001</v>
      </c>
      <c r="G31" s="109" t="str">
        <f t="shared" si="0"/>
        <v>kgCO2e/toneladas</v>
      </c>
      <c r="H31" s="402" t="s">
        <v>2177</v>
      </c>
    </row>
    <row r="32" spans="2:8">
      <c r="B32" s="402" t="s">
        <v>319</v>
      </c>
      <c r="C32" s="402" t="s">
        <v>236</v>
      </c>
      <c r="D32" s="72" t="s">
        <v>2185</v>
      </c>
      <c r="E32" s="72" t="s">
        <v>107</v>
      </c>
      <c r="F32" s="109">
        <f>'3.6 Waste disposal'!F43/1000</f>
        <v>6.4106099999999997E-3</v>
      </c>
      <c r="G32" s="109" t="str">
        <f t="shared" si="0"/>
        <v>kgCO2e/kilogramos</v>
      </c>
      <c r="H32" s="402" t="s">
        <v>2177</v>
      </c>
    </row>
    <row r="33" spans="2:8">
      <c r="B33" s="402" t="s">
        <v>319</v>
      </c>
      <c r="C33" s="402" t="s">
        <v>236</v>
      </c>
      <c r="D33" s="72" t="s">
        <v>2185</v>
      </c>
      <c r="E33" s="72" t="s">
        <v>108</v>
      </c>
      <c r="F33" s="109">
        <f>'3.6 Waste disposal'!F43/1000000</f>
        <v>6.4106099999999999E-6</v>
      </c>
      <c r="G33" s="109" t="str">
        <f t="shared" si="0"/>
        <v>kgCO2e/gramos</v>
      </c>
      <c r="H33" s="402" t="s">
        <v>2177</v>
      </c>
    </row>
    <row r="34" spans="2:8">
      <c r="B34" s="402" t="s">
        <v>319</v>
      </c>
      <c r="C34" s="402" t="s">
        <v>240</v>
      </c>
      <c r="D34" s="72" t="s">
        <v>2186</v>
      </c>
      <c r="E34" s="72" t="s">
        <v>106</v>
      </c>
      <c r="F34" s="339">
        <f>'3.6 Waste disposal'!F35</f>
        <v>6.4106100000000001</v>
      </c>
      <c r="G34" s="109" t="str">
        <f t="shared" si="0"/>
        <v>kgCO2e/toneladas</v>
      </c>
      <c r="H34" s="402" t="s">
        <v>2177</v>
      </c>
    </row>
    <row r="35" spans="2:8">
      <c r="B35" s="402" t="s">
        <v>319</v>
      </c>
      <c r="C35" s="402" t="s">
        <v>240</v>
      </c>
      <c r="D35" s="72" t="s">
        <v>2186</v>
      </c>
      <c r="E35" s="72" t="s">
        <v>107</v>
      </c>
      <c r="F35" s="109">
        <f>'3.6 Waste disposal'!F35/1000</f>
        <v>6.4106099999999997E-3</v>
      </c>
      <c r="G35" s="109" t="str">
        <f t="shared" si="0"/>
        <v>kgCO2e/kilogramos</v>
      </c>
      <c r="H35" s="402" t="s">
        <v>2177</v>
      </c>
    </row>
    <row r="36" spans="2:8">
      <c r="B36" s="402" t="s">
        <v>319</v>
      </c>
      <c r="C36" s="402" t="s">
        <v>240</v>
      </c>
      <c r="D36" s="72" t="s">
        <v>2186</v>
      </c>
      <c r="E36" s="72" t="s">
        <v>108</v>
      </c>
      <c r="F36" s="109">
        <f>'3.6 Waste disposal'!F35/1000000</f>
        <v>6.4106099999999999E-6</v>
      </c>
      <c r="G36" s="109" t="str">
        <f t="shared" si="0"/>
        <v>kgCO2e/gramos</v>
      </c>
      <c r="H36" s="402" t="s">
        <v>2177</v>
      </c>
    </row>
    <row r="37" spans="2:8">
      <c r="B37" s="402" t="s">
        <v>319</v>
      </c>
      <c r="C37" s="402" t="s">
        <v>328</v>
      </c>
      <c r="D37" s="72" t="s">
        <v>2187</v>
      </c>
      <c r="E37" s="72" t="s">
        <v>106</v>
      </c>
      <c r="F37" s="339">
        <f>'3.6 Waste disposal'!E59</f>
        <v>6.4106100000000001</v>
      </c>
      <c r="G37" s="109" t="str">
        <f t="shared" si="0"/>
        <v>kgCO2e/toneladas</v>
      </c>
      <c r="H37" s="402" t="s">
        <v>2177</v>
      </c>
    </row>
    <row r="38" spans="2:8">
      <c r="B38" s="402" t="s">
        <v>319</v>
      </c>
      <c r="C38" s="402" t="s">
        <v>328</v>
      </c>
      <c r="D38" s="72" t="s">
        <v>2187</v>
      </c>
      <c r="E38" s="72" t="s">
        <v>107</v>
      </c>
      <c r="F38" s="109">
        <f>'3.6 Waste disposal'!E59/1000</f>
        <v>6.4106099999999997E-3</v>
      </c>
      <c r="G38" s="109" t="str">
        <f t="shared" si="0"/>
        <v>kgCO2e/kilogramos</v>
      </c>
      <c r="H38" s="402" t="s">
        <v>2177</v>
      </c>
    </row>
    <row r="39" spans="2:8">
      <c r="B39" s="402" t="s">
        <v>319</v>
      </c>
      <c r="C39" s="402" t="s">
        <v>328</v>
      </c>
      <c r="D39" s="72" t="s">
        <v>2187</v>
      </c>
      <c r="E39" s="72" t="s">
        <v>108</v>
      </c>
      <c r="F39" s="109">
        <f>'3.6 Waste disposal'!E59/1000000</f>
        <v>6.4106099999999999E-6</v>
      </c>
      <c r="G39" s="109" t="str">
        <f t="shared" si="0"/>
        <v>kgCO2e/gramos</v>
      </c>
      <c r="H39" s="402" t="s">
        <v>2177</v>
      </c>
    </row>
    <row r="40" spans="2:8">
      <c r="B40" s="402" t="s">
        <v>319</v>
      </c>
      <c r="C40" s="402" t="s">
        <v>329</v>
      </c>
      <c r="D40" s="72" t="s">
        <v>2188</v>
      </c>
      <c r="E40" s="72" t="s">
        <v>106</v>
      </c>
      <c r="F40" s="339">
        <f>'3.6 Waste disposal'!F36</f>
        <v>6.4106100000000001</v>
      </c>
      <c r="G40" s="109" t="str">
        <f t="shared" si="0"/>
        <v>kgCO2e/toneladas</v>
      </c>
      <c r="H40" s="402" t="s">
        <v>2177</v>
      </c>
    </row>
    <row r="41" spans="2:8">
      <c r="B41" s="402" t="s">
        <v>319</v>
      </c>
      <c r="C41" s="402" t="s">
        <v>329</v>
      </c>
      <c r="D41" s="72" t="s">
        <v>2188</v>
      </c>
      <c r="E41" s="72" t="s">
        <v>107</v>
      </c>
      <c r="F41" s="109">
        <f>'3.6 Waste disposal'!F36/1000</f>
        <v>6.4106099999999997E-3</v>
      </c>
      <c r="G41" s="109" t="str">
        <f t="shared" si="0"/>
        <v>kgCO2e/kilogramos</v>
      </c>
      <c r="H41" s="402" t="s">
        <v>2177</v>
      </c>
    </row>
    <row r="42" spans="2:8">
      <c r="B42" s="402" t="s">
        <v>319</v>
      </c>
      <c r="C42" s="402" t="s">
        <v>329</v>
      </c>
      <c r="D42" s="72" t="s">
        <v>2188</v>
      </c>
      <c r="E42" s="72" t="s">
        <v>108</v>
      </c>
      <c r="F42" s="109">
        <f>'3.6 Waste disposal'!F36/1000000</f>
        <v>6.4106099999999999E-6</v>
      </c>
      <c r="G42" s="109" t="str">
        <f t="shared" si="0"/>
        <v>kgCO2e/gramos</v>
      </c>
      <c r="H42" s="402" t="s">
        <v>2177</v>
      </c>
    </row>
    <row r="43" spans="2:8">
      <c r="B43" s="402" t="s">
        <v>319</v>
      </c>
      <c r="C43" s="402" t="s">
        <v>330</v>
      </c>
      <c r="D43" s="72" t="s">
        <v>2189</v>
      </c>
      <c r="E43" s="72" t="s">
        <v>106</v>
      </c>
      <c r="F43" s="339">
        <f>'3.6 Waste disposal'!E61</f>
        <v>6.4106100000000001</v>
      </c>
      <c r="G43" s="109" t="str">
        <f t="shared" si="0"/>
        <v>kgCO2e/toneladas</v>
      </c>
      <c r="H43" s="402" t="s">
        <v>2177</v>
      </c>
    </row>
    <row r="44" spans="2:8">
      <c r="B44" s="402" t="s">
        <v>319</v>
      </c>
      <c r="C44" s="402" t="s">
        <v>330</v>
      </c>
      <c r="D44" s="72" t="s">
        <v>2189</v>
      </c>
      <c r="E44" s="72" t="s">
        <v>107</v>
      </c>
      <c r="F44" s="109">
        <f>'3.6 Waste disposal'!E61/1000</f>
        <v>6.4106099999999997E-3</v>
      </c>
      <c r="G44" s="109" t="str">
        <f t="shared" si="0"/>
        <v>kgCO2e/kilogramos</v>
      </c>
      <c r="H44" s="402" t="s">
        <v>2177</v>
      </c>
    </row>
    <row r="45" spans="2:8">
      <c r="B45" s="402" t="s">
        <v>319</v>
      </c>
      <c r="C45" s="402" t="s">
        <v>330</v>
      </c>
      <c r="D45" s="72" t="s">
        <v>2189</v>
      </c>
      <c r="E45" s="72" t="s">
        <v>108</v>
      </c>
      <c r="F45" s="109">
        <f>'3.6 Waste disposal'!E61/1000000</f>
        <v>6.4106099999999999E-6</v>
      </c>
      <c r="G45" s="109" t="str">
        <f t="shared" si="0"/>
        <v>kgCO2e/gramos</v>
      </c>
      <c r="H45" s="402" t="s">
        <v>2177</v>
      </c>
    </row>
    <row r="46" spans="2:8">
      <c r="B46" s="402" t="s">
        <v>319</v>
      </c>
      <c r="C46" s="402" t="s">
        <v>331</v>
      </c>
      <c r="D46" s="72" t="s">
        <v>2190</v>
      </c>
      <c r="E46" s="72" t="s">
        <v>106</v>
      </c>
      <c r="F46" s="339">
        <f>'3.6 Waste disposal'!F25</f>
        <v>0.98485</v>
      </c>
      <c r="G46" s="109" t="str">
        <f t="shared" si="0"/>
        <v>kgCO2e/toneladas</v>
      </c>
      <c r="H46" s="402" t="s">
        <v>2177</v>
      </c>
    </row>
    <row r="47" spans="2:8">
      <c r="B47" s="402" t="s">
        <v>319</v>
      </c>
      <c r="C47" s="402" t="s">
        <v>331</v>
      </c>
      <c r="D47" s="72" t="s">
        <v>2190</v>
      </c>
      <c r="E47" s="72" t="s">
        <v>107</v>
      </c>
      <c r="F47" s="109">
        <f>'3.6 Waste disposal'!F25/1000</f>
        <v>9.8485E-4</v>
      </c>
      <c r="G47" s="109" t="str">
        <f t="shared" si="0"/>
        <v>kgCO2e/kilogramos</v>
      </c>
      <c r="H47" s="402" t="s">
        <v>2177</v>
      </c>
    </row>
    <row r="48" spans="2:8">
      <c r="B48" s="402" t="s">
        <v>319</v>
      </c>
      <c r="C48" s="402" t="s">
        <v>331</v>
      </c>
      <c r="D48" s="72" t="s">
        <v>2190</v>
      </c>
      <c r="E48" s="72" t="s">
        <v>108</v>
      </c>
      <c r="F48" s="109">
        <f>'3.6 Waste disposal'!F25/1000000</f>
        <v>9.8484999999999998E-7</v>
      </c>
      <c r="G48" s="109" t="str">
        <f t="shared" si="0"/>
        <v>kgCO2e/gramos</v>
      </c>
      <c r="H48" s="402" t="s">
        <v>2177</v>
      </c>
    </row>
    <row r="49" spans="2:8">
      <c r="B49" s="402" t="s">
        <v>319</v>
      </c>
      <c r="C49" s="402" t="s">
        <v>332</v>
      </c>
      <c r="D49" s="72" t="s">
        <v>2191</v>
      </c>
      <c r="E49" s="72" t="s">
        <v>106</v>
      </c>
      <c r="F49" s="339">
        <f>'3.6 Waste disposal'!F42</f>
        <v>6.4106100000000001</v>
      </c>
      <c r="G49" s="109" t="str">
        <f t="shared" si="0"/>
        <v>kgCO2e/toneladas</v>
      </c>
      <c r="H49" s="402" t="s">
        <v>2177</v>
      </c>
    </row>
    <row r="50" spans="2:8">
      <c r="B50" s="402" t="s">
        <v>319</v>
      </c>
      <c r="C50" s="402" t="s">
        <v>332</v>
      </c>
      <c r="D50" s="72" t="s">
        <v>2191</v>
      </c>
      <c r="E50" s="72" t="s">
        <v>107</v>
      </c>
      <c r="F50" s="109">
        <f>'3.6 Waste disposal'!F42/1000</f>
        <v>6.4106099999999997E-3</v>
      </c>
      <c r="G50" s="109" t="str">
        <f t="shared" si="0"/>
        <v>kgCO2e/kilogramos</v>
      </c>
      <c r="H50" s="402" t="s">
        <v>2177</v>
      </c>
    </row>
    <row r="51" spans="2:8">
      <c r="B51" s="402" t="s">
        <v>319</v>
      </c>
      <c r="C51" s="402" t="s">
        <v>332</v>
      </c>
      <c r="D51" s="72" t="s">
        <v>2191</v>
      </c>
      <c r="E51" s="72" t="s">
        <v>108</v>
      </c>
      <c r="F51" s="109">
        <f>'3.6 Waste disposal'!F42/1000000</f>
        <v>6.4106099999999999E-6</v>
      </c>
      <c r="G51" s="109" t="str">
        <f t="shared" si="0"/>
        <v>kgCO2e/gramos</v>
      </c>
      <c r="H51" s="402" t="s">
        <v>2177</v>
      </c>
    </row>
    <row r="52" spans="2:8">
      <c r="B52" s="402" t="s">
        <v>319</v>
      </c>
      <c r="C52" s="402" t="s">
        <v>333</v>
      </c>
      <c r="D52" s="72" t="s">
        <v>2192</v>
      </c>
      <c r="E52" s="72" t="s">
        <v>106</v>
      </c>
      <c r="F52" s="339">
        <f>'3.6 Waste disposal'!F66</f>
        <v>6.4106100000000001</v>
      </c>
      <c r="G52" s="109" t="str">
        <f t="shared" si="0"/>
        <v>kgCO2e/toneladas</v>
      </c>
      <c r="H52" s="402" t="s">
        <v>2177</v>
      </c>
    </row>
    <row r="53" spans="2:8">
      <c r="B53" s="402" t="s">
        <v>319</v>
      </c>
      <c r="C53" s="402" t="s">
        <v>333</v>
      </c>
      <c r="D53" s="72" t="s">
        <v>2192</v>
      </c>
      <c r="E53" s="72" t="s">
        <v>107</v>
      </c>
      <c r="F53" s="109">
        <f>'3.6 Waste disposal'!F66/1000</f>
        <v>6.4106099999999997E-3</v>
      </c>
      <c r="G53" s="109" t="str">
        <f t="shared" si="0"/>
        <v>kgCO2e/kilogramos</v>
      </c>
      <c r="H53" s="402" t="s">
        <v>2177</v>
      </c>
    </row>
    <row r="54" spans="2:8">
      <c r="B54" s="402" t="s">
        <v>319</v>
      </c>
      <c r="C54" s="402" t="s">
        <v>333</v>
      </c>
      <c r="D54" s="72" t="s">
        <v>2192</v>
      </c>
      <c r="E54" s="72" t="s">
        <v>108</v>
      </c>
      <c r="F54" s="109">
        <f>'3.6 Waste disposal'!F66/1000000</f>
        <v>6.4106099999999999E-6</v>
      </c>
      <c r="G54" s="109" t="str">
        <f t="shared" si="0"/>
        <v>kgCO2e/gramos</v>
      </c>
      <c r="H54" s="402" t="s">
        <v>2177</v>
      </c>
    </row>
    <row r="55" spans="2:8">
      <c r="B55" s="402" t="s">
        <v>319</v>
      </c>
      <c r="C55" s="402" t="s">
        <v>334</v>
      </c>
      <c r="D55" s="72" t="s">
        <v>2193</v>
      </c>
      <c r="E55" s="72" t="s">
        <v>106</v>
      </c>
      <c r="F55" s="339">
        <f>'3.6 Waste disposal'!F68</f>
        <v>6.4106100000000001</v>
      </c>
      <c r="G55" s="109" t="str">
        <f t="shared" si="0"/>
        <v>kgCO2e/toneladas</v>
      </c>
      <c r="H55" s="402" t="s">
        <v>2177</v>
      </c>
    </row>
    <row r="56" spans="2:8">
      <c r="B56" s="402" t="s">
        <v>319</v>
      </c>
      <c r="C56" s="402" t="s">
        <v>334</v>
      </c>
      <c r="D56" s="72" t="s">
        <v>2193</v>
      </c>
      <c r="E56" s="72" t="s">
        <v>107</v>
      </c>
      <c r="F56" s="109">
        <f>'3.6 Waste disposal'!F68/1000</f>
        <v>6.4106099999999997E-3</v>
      </c>
      <c r="G56" s="109" t="str">
        <f t="shared" si="0"/>
        <v>kgCO2e/kilogramos</v>
      </c>
      <c r="H56" s="402" t="s">
        <v>2177</v>
      </c>
    </row>
    <row r="57" spans="2:8">
      <c r="B57" s="402" t="s">
        <v>319</v>
      </c>
      <c r="C57" s="402" t="s">
        <v>334</v>
      </c>
      <c r="D57" s="72" t="s">
        <v>2193</v>
      </c>
      <c r="E57" s="72" t="s">
        <v>108</v>
      </c>
      <c r="F57" s="109">
        <f>'3.6 Waste disposal'!F68/1000000</f>
        <v>6.4106099999999999E-6</v>
      </c>
      <c r="G57" s="109" t="str">
        <f t="shared" si="0"/>
        <v>kgCO2e/gramos</v>
      </c>
      <c r="H57" s="402" t="s">
        <v>2177</v>
      </c>
    </row>
    <row r="58" spans="2:8">
      <c r="B58" s="402" t="s">
        <v>319</v>
      </c>
      <c r="C58" s="402" t="s">
        <v>335</v>
      </c>
      <c r="D58" s="72" t="s">
        <v>2194</v>
      </c>
      <c r="E58" s="72" t="s">
        <v>106</v>
      </c>
      <c r="F58" s="339">
        <f>'3.6 Waste disposal'!F33</f>
        <v>6.4106100000000001</v>
      </c>
      <c r="G58" s="109" t="str">
        <f t="shared" si="0"/>
        <v>kgCO2e/toneladas</v>
      </c>
      <c r="H58" s="402" t="s">
        <v>2177</v>
      </c>
    </row>
    <row r="59" spans="2:8">
      <c r="B59" s="402" t="s">
        <v>319</v>
      </c>
      <c r="C59" s="402" t="s">
        <v>335</v>
      </c>
      <c r="D59" s="72" t="s">
        <v>2194</v>
      </c>
      <c r="E59" s="72" t="s">
        <v>107</v>
      </c>
      <c r="F59" s="109">
        <f>'3.6 Waste disposal'!F33/1000</f>
        <v>6.4106099999999997E-3</v>
      </c>
      <c r="G59" s="109" t="str">
        <f t="shared" si="0"/>
        <v>kgCO2e/kilogramos</v>
      </c>
      <c r="H59" s="402" t="s">
        <v>2177</v>
      </c>
    </row>
    <row r="60" spans="2:8">
      <c r="B60" s="402" t="s">
        <v>319</v>
      </c>
      <c r="C60" s="402" t="s">
        <v>335</v>
      </c>
      <c r="D60" s="72" t="s">
        <v>2194</v>
      </c>
      <c r="E60" s="72" t="s">
        <v>108</v>
      </c>
      <c r="F60" s="109">
        <f>'3.6 Waste disposal'!F33/1000000</f>
        <v>6.4106099999999999E-6</v>
      </c>
      <c r="G60" s="109" t="str">
        <f t="shared" si="0"/>
        <v>kgCO2e/gramos</v>
      </c>
      <c r="H60" s="402" t="s">
        <v>2177</v>
      </c>
    </row>
    <row r="61" spans="2:8">
      <c r="B61" s="402" t="s">
        <v>319</v>
      </c>
      <c r="C61" s="402" t="s">
        <v>336</v>
      </c>
      <c r="D61" s="72" t="s">
        <v>2195</v>
      </c>
      <c r="E61" s="72" t="s">
        <v>106</v>
      </c>
      <c r="F61" s="339">
        <f>'3.6 Waste disposal'!F88</f>
        <v>6.4106100000000001</v>
      </c>
      <c r="G61" s="109" t="str">
        <f t="shared" si="0"/>
        <v>kgCO2e/toneladas</v>
      </c>
      <c r="H61" s="402" t="s">
        <v>2177</v>
      </c>
    </row>
    <row r="62" spans="2:8">
      <c r="B62" s="402" t="s">
        <v>319</v>
      </c>
      <c r="C62" s="402" t="s">
        <v>336</v>
      </c>
      <c r="D62" s="72" t="s">
        <v>2195</v>
      </c>
      <c r="E62" s="72" t="s">
        <v>107</v>
      </c>
      <c r="F62" s="109">
        <f>'3.6 Waste disposal'!F88/1000</f>
        <v>6.4106099999999997E-3</v>
      </c>
      <c r="G62" s="109" t="str">
        <f t="shared" si="0"/>
        <v>kgCO2e/kilogramos</v>
      </c>
      <c r="H62" s="402" t="s">
        <v>2177</v>
      </c>
    </row>
    <row r="63" spans="2:8">
      <c r="B63" s="402" t="s">
        <v>319</v>
      </c>
      <c r="C63" s="402" t="s">
        <v>336</v>
      </c>
      <c r="D63" s="72" t="s">
        <v>2195</v>
      </c>
      <c r="E63" s="72" t="s">
        <v>108</v>
      </c>
      <c r="F63" s="109">
        <f>'3.6 Waste disposal'!F88/1000000</f>
        <v>6.4106099999999999E-6</v>
      </c>
      <c r="G63" s="109" t="str">
        <f t="shared" si="0"/>
        <v>kgCO2e/gramos</v>
      </c>
      <c r="H63" s="402" t="s">
        <v>2177</v>
      </c>
    </row>
    <row r="64" spans="2:8">
      <c r="B64" s="402" t="s">
        <v>337</v>
      </c>
      <c r="C64" s="402" t="s">
        <v>338</v>
      </c>
      <c r="D64" s="72" t="s">
        <v>2196</v>
      </c>
      <c r="E64" s="72" t="s">
        <v>106</v>
      </c>
      <c r="F64" s="339">
        <f>'3.6 Waste disposal'!H49</f>
        <v>8.8838600000000003</v>
      </c>
      <c r="G64" s="109" t="str">
        <f t="shared" si="0"/>
        <v>kgCO2e/toneladas</v>
      </c>
      <c r="H64" s="402" t="s">
        <v>2177</v>
      </c>
    </row>
    <row r="65" spans="2:8">
      <c r="B65" s="402" t="s">
        <v>337</v>
      </c>
      <c r="C65" s="402" t="s">
        <v>338</v>
      </c>
      <c r="D65" s="72" t="s">
        <v>2196</v>
      </c>
      <c r="E65" s="72" t="s">
        <v>107</v>
      </c>
      <c r="F65" s="109">
        <f>'3.6 Waste disposal'!H49/1000</f>
        <v>8.8838600000000004E-3</v>
      </c>
      <c r="G65" s="109" t="str">
        <f t="shared" si="0"/>
        <v>kgCO2e/kilogramos</v>
      </c>
      <c r="H65" s="402" t="s">
        <v>2177</v>
      </c>
    </row>
    <row r="66" spans="2:8">
      <c r="B66" s="402" t="s">
        <v>337</v>
      </c>
      <c r="C66" s="402" t="s">
        <v>338</v>
      </c>
      <c r="D66" s="72" t="s">
        <v>2196</v>
      </c>
      <c r="E66" s="72" t="s">
        <v>108</v>
      </c>
      <c r="F66" s="109">
        <f>'3.6 Waste disposal'!H49/1000000</f>
        <v>8.8838600000000004E-6</v>
      </c>
      <c r="G66" s="109" t="str">
        <f>"kgCO2e/"&amp;E66</f>
        <v>kgCO2e/gramos</v>
      </c>
      <c r="H66" s="402" t="s">
        <v>2177</v>
      </c>
    </row>
    <row r="67" spans="2:8">
      <c r="B67" s="402" t="s">
        <v>339</v>
      </c>
      <c r="C67" s="402" t="s">
        <v>340</v>
      </c>
      <c r="D67" s="72" t="s">
        <v>2197</v>
      </c>
      <c r="E67" s="72" t="s">
        <v>106</v>
      </c>
      <c r="F67" s="339">
        <f>'3.6 Waste disposal'!I52</f>
        <v>520.33420000000001</v>
      </c>
      <c r="G67" s="109" t="str">
        <f t="shared" si="0"/>
        <v>kgCO2e/toneladas</v>
      </c>
      <c r="H67" s="402" t="s">
        <v>2177</v>
      </c>
    </row>
    <row r="68" spans="2:8">
      <c r="B68" s="402" t="s">
        <v>339</v>
      </c>
      <c r="C68" s="402" t="s">
        <v>340</v>
      </c>
      <c r="D68" s="72" t="s">
        <v>2197</v>
      </c>
      <c r="E68" s="72" t="s">
        <v>107</v>
      </c>
      <c r="F68" s="339">
        <f>'3.6 Waste disposal'!I52/1000</f>
        <v>0.52033419999999997</v>
      </c>
      <c r="G68" s="109" t="str">
        <f t="shared" si="0"/>
        <v>kgCO2e/kilogramos</v>
      </c>
      <c r="H68" s="402" t="s">
        <v>2177</v>
      </c>
    </row>
    <row r="69" spans="2:8">
      <c r="B69" s="402" t="s">
        <v>339</v>
      </c>
      <c r="C69" s="402" t="s">
        <v>340</v>
      </c>
      <c r="D69" s="72" t="s">
        <v>2197</v>
      </c>
      <c r="E69" s="72" t="s">
        <v>108</v>
      </c>
      <c r="F69" s="784">
        <f>'3.6 Waste disposal'!I52/1000000</f>
        <v>5.2033419999999997E-4</v>
      </c>
      <c r="G69" s="109" t="str">
        <f t="shared" si="0"/>
        <v>kgCO2e/gramos</v>
      </c>
      <c r="H69" s="402" t="s">
        <v>2177</v>
      </c>
    </row>
    <row r="70" spans="2:8">
      <c r="B70" s="402" t="s">
        <v>339</v>
      </c>
      <c r="C70" s="402" t="s">
        <v>341</v>
      </c>
      <c r="D70" s="72" t="s">
        <v>2198</v>
      </c>
      <c r="E70" s="72" t="s">
        <v>106</v>
      </c>
      <c r="F70" s="339">
        <f>'3.6 Waste disposal'!I48</f>
        <v>497.04415999999998</v>
      </c>
      <c r="G70" s="109" t="str">
        <f t="shared" si="0"/>
        <v>kgCO2e/toneladas</v>
      </c>
      <c r="H70" s="402" t="s">
        <v>2177</v>
      </c>
    </row>
    <row r="71" spans="2:8">
      <c r="B71" s="402" t="s">
        <v>339</v>
      </c>
      <c r="C71" s="402" t="s">
        <v>341</v>
      </c>
      <c r="D71" s="72" t="s">
        <v>2198</v>
      </c>
      <c r="E71" s="72" t="s">
        <v>107</v>
      </c>
      <c r="F71" s="109">
        <f>'3.6 Waste disposal'!I48/1000</f>
        <v>0.49704415999999996</v>
      </c>
      <c r="G71" s="109" t="str">
        <f t="shared" si="0"/>
        <v>kgCO2e/kilogramos</v>
      </c>
      <c r="H71" s="402" t="s">
        <v>2177</v>
      </c>
    </row>
    <row r="72" spans="2:8">
      <c r="B72" s="402" t="s">
        <v>339</v>
      </c>
      <c r="C72" s="402" t="s">
        <v>341</v>
      </c>
      <c r="D72" s="72" t="s">
        <v>2198</v>
      </c>
      <c r="E72" s="72" t="s">
        <v>108</v>
      </c>
      <c r="F72" s="109">
        <f>'3.6 Waste disposal'!I48/1000000</f>
        <v>4.9704415999999999E-4</v>
      </c>
      <c r="G72" s="109" t="str">
        <f t="shared" si="0"/>
        <v>kgCO2e/gramos</v>
      </c>
      <c r="H72" s="402" t="s">
        <v>2177</v>
      </c>
    </row>
    <row r="73" spans="2:8">
      <c r="B73" s="402" t="s">
        <v>342</v>
      </c>
      <c r="C73" s="402" t="s">
        <v>340</v>
      </c>
      <c r="D73" s="72" t="s">
        <v>2197</v>
      </c>
      <c r="E73" s="72" t="s">
        <v>106</v>
      </c>
      <c r="F73" s="339">
        <f>'3.6 Waste disposal'!I52</f>
        <v>520.33420000000001</v>
      </c>
      <c r="G73" s="109" t="str">
        <f t="shared" si="0"/>
        <v>kgCO2e/toneladas</v>
      </c>
      <c r="H73" s="402" t="s">
        <v>2177</v>
      </c>
    </row>
    <row r="74" spans="2:8">
      <c r="B74" s="402" t="s">
        <v>342</v>
      </c>
      <c r="C74" s="402" t="s">
        <v>340</v>
      </c>
      <c r="D74" s="72" t="s">
        <v>2197</v>
      </c>
      <c r="E74" s="72" t="s">
        <v>107</v>
      </c>
      <c r="F74" s="339">
        <f>'3.6 Waste disposal'!I52/1000</f>
        <v>0.52033419999999997</v>
      </c>
      <c r="G74" s="109" t="str">
        <f t="shared" si="0"/>
        <v>kgCO2e/kilogramos</v>
      </c>
      <c r="H74" s="402" t="s">
        <v>2177</v>
      </c>
    </row>
    <row r="75" spans="2:8">
      <c r="B75" s="402" t="s">
        <v>342</v>
      </c>
      <c r="C75" s="402" t="s">
        <v>340</v>
      </c>
      <c r="D75" s="72" t="s">
        <v>2197</v>
      </c>
      <c r="E75" s="72" t="s">
        <v>108</v>
      </c>
      <c r="F75" s="784">
        <f>'3.6 Waste disposal'!I52/1000000</f>
        <v>5.2033419999999997E-4</v>
      </c>
      <c r="G75" s="109" t="str">
        <f t="shared" si="0"/>
        <v>kgCO2e/gramos</v>
      </c>
      <c r="H75" s="402" t="s">
        <v>2177</v>
      </c>
    </row>
    <row r="76" spans="2:8">
      <c r="B76" s="402" t="s">
        <v>342</v>
      </c>
      <c r="C76" s="402" t="s">
        <v>341</v>
      </c>
      <c r="D76" s="72" t="s">
        <v>2198</v>
      </c>
      <c r="E76" s="72" t="s">
        <v>106</v>
      </c>
      <c r="F76" s="339">
        <f>'3.6 Waste disposal'!I48</f>
        <v>497.04415999999998</v>
      </c>
      <c r="G76" s="109" t="str">
        <f t="shared" si="0"/>
        <v>kgCO2e/toneladas</v>
      </c>
      <c r="H76" s="402" t="s">
        <v>2177</v>
      </c>
    </row>
    <row r="77" spans="2:8">
      <c r="B77" s="402" t="s">
        <v>342</v>
      </c>
      <c r="C77" s="402" t="s">
        <v>341</v>
      </c>
      <c r="D77" s="72" t="s">
        <v>2198</v>
      </c>
      <c r="E77" s="72" t="s">
        <v>107</v>
      </c>
      <c r="F77" s="109">
        <f>'3.6 Waste disposal'!I48/1000</f>
        <v>0.49704415999999996</v>
      </c>
      <c r="G77" s="109" t="str">
        <f t="shared" si="0"/>
        <v>kgCO2e/kilogramos</v>
      </c>
      <c r="H77" s="402" t="s">
        <v>2177</v>
      </c>
    </row>
    <row r="78" spans="2:8">
      <c r="B78" s="402" t="s">
        <v>342</v>
      </c>
      <c r="C78" s="402" t="s">
        <v>341</v>
      </c>
      <c r="D78" s="72" t="s">
        <v>2198</v>
      </c>
      <c r="E78" s="72" t="s">
        <v>108</v>
      </c>
      <c r="F78" s="109">
        <f>'3.6 Waste disposal'!I48/1000000</f>
        <v>4.9704415999999999E-4</v>
      </c>
      <c r="G78" s="109" t="str">
        <f t="shared" si="0"/>
        <v>kgCO2e/gramos</v>
      </c>
      <c r="H78" s="402" t="s">
        <v>2177</v>
      </c>
    </row>
    <row r="79" spans="2:8">
      <c r="B79" s="414"/>
      <c r="C79" s="414"/>
    </row>
    <row r="80" spans="2:8">
      <c r="B80" s="414"/>
      <c r="C80" s="414"/>
    </row>
    <row r="81" spans="2:3">
      <c r="B81" s="414"/>
      <c r="C81" s="414"/>
    </row>
    <row r="82" spans="2:3">
      <c r="B82" s="414"/>
      <c r="C82" s="414"/>
    </row>
    <row r="83" spans="2:3">
      <c r="B83" s="414"/>
      <c r="C83" s="414"/>
    </row>
    <row r="84" spans="2:3">
      <c r="B84" s="414"/>
      <c r="C84" s="414"/>
    </row>
    <row r="85" spans="2:3">
      <c r="B85" s="414"/>
      <c r="C85" s="414"/>
    </row>
    <row r="86" spans="2:3">
      <c r="B86" s="414"/>
      <c r="C86" s="414"/>
    </row>
    <row r="87" spans="2:3">
      <c r="B87" s="414"/>
      <c r="C87" s="414"/>
    </row>
    <row r="88" spans="2:3">
      <c r="B88" s="414"/>
      <c r="C88" s="414"/>
    </row>
    <row r="89" spans="2:3">
      <c r="B89" s="414"/>
      <c r="C89" s="414"/>
    </row>
    <row r="90" spans="2:3">
      <c r="B90" s="414"/>
      <c r="C90" s="414"/>
    </row>
    <row r="91" spans="2:3">
      <c r="B91" s="414"/>
      <c r="C91" s="414"/>
    </row>
    <row r="92" spans="2:3">
      <c r="B92" s="414"/>
      <c r="C92" s="414"/>
    </row>
    <row r="93" spans="2:3">
      <c r="B93" s="414"/>
      <c r="C93" s="414"/>
    </row>
    <row r="94" spans="2:3">
      <c r="B94" s="414"/>
      <c r="C94" s="414"/>
    </row>
    <row r="95" spans="2:3">
      <c r="B95" s="414"/>
      <c r="C95" s="414"/>
    </row>
    <row r="96" spans="2:3">
      <c r="B96" s="414"/>
      <c r="C96" s="414"/>
    </row>
    <row r="97" spans="2:3">
      <c r="B97" s="414"/>
      <c r="C97" s="414"/>
    </row>
  </sheetData>
  <sheetProtection algorithmName="SHA-512" hashValue="i66V9DiD3t3wlK34CpGg+NvJwr7EzvsMjYPv/rlS+hMXsIKx0LOh959zq2J1ND5zLDNL0SE6pQkyX9nl5P3nnQ==" saltValue="0M9PP4OXjVTCchVfz4R+Ew==" spinCount="100000" sheet="1" objects="1" scenarios="1" autoFilter="0"/>
  <autoFilter ref="B6:H78" xr:uid="{00000000-0001-0000-2B00-000000000000}"/>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79998168889431442"/>
    <pageSetUpPr fitToPage="1"/>
  </sheetPr>
  <dimension ref="A1:AY155"/>
  <sheetViews>
    <sheetView workbookViewId="0"/>
  </sheetViews>
  <sheetFormatPr baseColWidth="10" defaultColWidth="11.33203125" defaultRowHeight="14.4"/>
  <cols>
    <col min="1" max="1" width="16.5546875" style="168" customWidth="1"/>
    <col min="2" max="2" width="43.5546875" style="168" customWidth="1"/>
    <col min="3" max="3" width="14.6640625" style="168" customWidth="1"/>
    <col min="4" max="10" width="20.44140625" style="326" customWidth="1"/>
    <col min="11" max="11" width="1.5546875" style="168" customWidth="1"/>
    <col min="12" max="12" width="1.44140625" style="168" customWidth="1"/>
    <col min="13" max="13" width="11.33203125" style="168"/>
    <col min="14" max="14" width="13.44140625" style="167" customWidth="1"/>
    <col min="15" max="16" width="11.33203125" style="167"/>
    <col min="17" max="16384" width="11.33203125" style="168"/>
  </cols>
  <sheetData>
    <row r="1" spans="1:51" s="164" customFormat="1" ht="10.199999999999999">
      <c r="A1" s="164" t="s">
        <v>1606</v>
      </c>
    </row>
    <row r="2" spans="1:51" ht="21">
      <c r="A2" s="165" t="s">
        <v>2199</v>
      </c>
      <c r="B2" s="165"/>
      <c r="C2" s="165"/>
      <c r="D2" s="165"/>
      <c r="E2" s="165"/>
      <c r="F2" s="165"/>
      <c r="G2" s="309"/>
      <c r="H2" s="309"/>
      <c r="I2" s="309"/>
      <c r="J2" s="309"/>
      <c r="K2" s="167"/>
      <c r="L2" s="167"/>
      <c r="M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row>
    <row r="3" spans="1:51" s="173" customFormat="1" ht="13.8">
      <c r="A3" s="169" t="s">
        <v>1608</v>
      </c>
      <c r="B3" s="170"/>
      <c r="C3" s="171"/>
      <c r="D3" s="170"/>
      <c r="E3" s="310"/>
      <c r="F3" s="310"/>
      <c r="G3" s="310"/>
      <c r="H3" s="310"/>
      <c r="I3" s="310"/>
      <c r="J3" s="31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row>
    <row r="4" spans="1:51" s="174" customFormat="1" ht="7.2" thickBot="1">
      <c r="D4" s="311"/>
      <c r="E4" s="311"/>
      <c r="F4" s="311"/>
      <c r="G4" s="311"/>
      <c r="H4" s="311"/>
      <c r="I4" s="311"/>
      <c r="J4" s="311"/>
    </row>
    <row r="5" spans="1:51" ht="28.2" thickTop="1">
      <c r="A5" s="177" t="s">
        <v>1609</v>
      </c>
      <c r="B5" s="178" t="s">
        <v>2199</v>
      </c>
      <c r="C5" s="177" t="s">
        <v>1610</v>
      </c>
      <c r="D5" s="179">
        <v>45818</v>
      </c>
      <c r="E5" s="312" t="s">
        <v>1611</v>
      </c>
      <c r="F5" s="313" t="s">
        <v>1612</v>
      </c>
      <c r="G5" s="309"/>
      <c r="H5" s="309"/>
      <c r="I5" s="309"/>
      <c r="J5" s="309"/>
      <c r="K5" s="167"/>
      <c r="L5" s="167"/>
      <c r="M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row>
    <row r="6" spans="1:51" ht="15" thickBot="1">
      <c r="A6" s="182" t="s">
        <v>1613</v>
      </c>
      <c r="B6" s="183" t="s">
        <v>1614</v>
      </c>
      <c r="C6" s="184" t="s">
        <v>1615</v>
      </c>
      <c r="D6" s="185">
        <v>1.1000000000000001</v>
      </c>
      <c r="E6" s="314" t="s">
        <v>1616</v>
      </c>
      <c r="F6" s="209">
        <v>2024</v>
      </c>
      <c r="G6" s="309"/>
      <c r="H6" s="309"/>
      <c r="I6" s="309"/>
      <c r="J6" s="309"/>
      <c r="K6" s="167"/>
      <c r="L6" s="167"/>
      <c r="M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row>
    <row r="7" spans="1:51" ht="15.6" thickTop="1" thickBot="1">
      <c r="A7" s="167"/>
      <c r="B7" s="167"/>
      <c r="C7" s="167"/>
      <c r="D7" s="309"/>
      <c r="E7" s="309"/>
      <c r="F7" s="309"/>
      <c r="G7" s="309"/>
      <c r="H7" s="309"/>
      <c r="I7" s="309"/>
      <c r="J7" s="309"/>
      <c r="K7" s="167"/>
      <c r="L7" s="167"/>
      <c r="M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row>
    <row r="8" spans="1:51" s="167" customFormat="1" ht="21" customHeight="1" thickTop="1" thickBot="1">
      <c r="A8" s="665" t="s">
        <v>2200</v>
      </c>
      <c r="B8" s="666"/>
      <c r="C8" s="666"/>
      <c r="D8" s="666"/>
      <c r="E8" s="666"/>
      <c r="F8" s="666"/>
      <c r="G8" s="666"/>
      <c r="H8" s="666"/>
      <c r="I8" s="666"/>
      <c r="J8" s="666"/>
      <c r="K8" s="666"/>
      <c r="L8" s="667"/>
      <c r="M8" s="191"/>
    </row>
    <row r="9" spans="1:51" s="167" customFormat="1" ht="15" customHeight="1" thickTop="1">
      <c r="A9" s="669" t="s">
        <v>1618</v>
      </c>
      <c r="B9" s="669"/>
      <c r="C9" s="669"/>
      <c r="D9" s="669"/>
      <c r="E9" s="669"/>
      <c r="F9" s="669"/>
      <c r="G9" s="669"/>
      <c r="H9" s="669"/>
      <c r="I9" s="669"/>
      <c r="J9" s="669"/>
      <c r="K9" s="669"/>
      <c r="L9" s="669"/>
      <c r="M9" s="191"/>
    </row>
    <row r="10" spans="1:51" s="167" customFormat="1" ht="22.35" customHeight="1">
      <c r="A10" s="668" t="s">
        <v>2201</v>
      </c>
      <c r="B10" s="668"/>
      <c r="C10" s="668"/>
      <c r="D10" s="668"/>
      <c r="E10" s="668"/>
      <c r="F10" s="668"/>
      <c r="G10" s="668"/>
      <c r="H10" s="668"/>
      <c r="I10" s="668"/>
      <c r="J10" s="668"/>
      <c r="K10" s="668"/>
      <c r="L10" s="668"/>
      <c r="M10" s="191"/>
    </row>
    <row r="11" spans="1:51" s="167" customFormat="1" ht="33.75" customHeight="1">
      <c r="A11" s="668" t="s">
        <v>2202</v>
      </c>
      <c r="B11" s="668"/>
      <c r="C11" s="668"/>
      <c r="D11" s="668"/>
      <c r="E11" s="668"/>
      <c r="F11" s="668"/>
      <c r="G11" s="668"/>
      <c r="H11" s="668"/>
      <c r="I11" s="668"/>
      <c r="J11" s="668"/>
      <c r="K11" s="668"/>
      <c r="L11" s="668"/>
      <c r="M11" s="191"/>
    </row>
    <row r="12" spans="1:51" s="167" customFormat="1" ht="36" customHeight="1">
      <c r="A12" s="668" t="s">
        <v>2203</v>
      </c>
      <c r="B12" s="668"/>
      <c r="C12" s="668"/>
      <c r="D12" s="668"/>
      <c r="E12" s="668"/>
      <c r="F12" s="668"/>
      <c r="G12" s="668"/>
      <c r="H12" s="668"/>
      <c r="I12" s="668"/>
      <c r="J12" s="668"/>
      <c r="K12" s="668"/>
      <c r="L12" s="668"/>
      <c r="M12" s="191"/>
    </row>
    <row r="13" spans="1:51" s="167" customFormat="1" ht="34.5" customHeight="1">
      <c r="A13" s="668" t="s">
        <v>2204</v>
      </c>
      <c r="B13" s="668"/>
      <c r="C13" s="668"/>
      <c r="D13" s="668"/>
      <c r="E13" s="668"/>
      <c r="F13" s="668"/>
      <c r="G13" s="668"/>
      <c r="H13" s="668"/>
      <c r="I13" s="668"/>
      <c r="J13" s="668"/>
      <c r="K13" s="668"/>
      <c r="L13" s="668"/>
      <c r="M13" s="191"/>
    </row>
    <row r="14" spans="1:51" s="167" customFormat="1" ht="21.75" customHeight="1">
      <c r="A14" s="315" t="s">
        <v>2205</v>
      </c>
      <c r="M14" s="191"/>
    </row>
    <row r="15" spans="1:51" s="167" customFormat="1" ht="16.5" customHeight="1">
      <c r="A15" s="190"/>
      <c r="B15" s="190"/>
      <c r="C15" s="190"/>
      <c r="D15" s="190"/>
      <c r="E15" s="190"/>
      <c r="F15" s="190"/>
      <c r="G15" s="190"/>
      <c r="H15" s="190"/>
      <c r="I15" s="190"/>
      <c r="J15" s="190"/>
      <c r="K15" s="190"/>
      <c r="L15" s="190"/>
      <c r="M15" s="191"/>
    </row>
    <row r="16" spans="1:51" s="167" customFormat="1" ht="22.5" customHeight="1">
      <c r="A16" s="669" t="s">
        <v>2206</v>
      </c>
      <c r="B16" s="669"/>
      <c r="C16" s="669"/>
      <c r="D16" s="669"/>
      <c r="E16" s="669"/>
      <c r="F16" s="669"/>
      <c r="G16" s="669"/>
      <c r="H16" s="669"/>
      <c r="I16" s="669"/>
      <c r="J16" s="669"/>
      <c r="K16" s="669"/>
      <c r="L16" s="669"/>
      <c r="M16" s="191"/>
    </row>
    <row r="17" spans="1:15" s="167" customFormat="1" ht="19.5" customHeight="1">
      <c r="A17" s="668" t="s">
        <v>2207</v>
      </c>
      <c r="B17" s="668"/>
      <c r="C17" s="668"/>
      <c r="D17" s="668"/>
      <c r="E17" s="668"/>
      <c r="F17" s="668"/>
      <c r="G17" s="668"/>
      <c r="H17" s="668"/>
      <c r="I17" s="668"/>
      <c r="J17" s="668"/>
      <c r="K17" s="668"/>
      <c r="L17" s="668"/>
      <c r="M17" s="194"/>
      <c r="N17" s="194"/>
      <c r="O17" s="194"/>
    </row>
    <row r="18" spans="1:15" s="167" customFormat="1" ht="36" customHeight="1">
      <c r="A18" s="703" t="s">
        <v>2208</v>
      </c>
      <c r="B18" s="668"/>
      <c r="C18" s="668"/>
      <c r="D18" s="668"/>
      <c r="E18" s="668"/>
      <c r="F18" s="668"/>
      <c r="G18" s="668"/>
      <c r="H18" s="668"/>
      <c r="I18" s="668"/>
      <c r="J18" s="668"/>
      <c r="K18" s="668"/>
      <c r="L18" s="668"/>
      <c r="M18" s="194"/>
      <c r="N18" s="194"/>
      <c r="O18" s="194"/>
    </row>
    <row r="19" spans="1:15" s="167" customFormat="1" ht="19.5" customHeight="1">
      <c r="A19" s="668" t="s">
        <v>2209</v>
      </c>
      <c r="B19" s="668"/>
      <c r="C19" s="668"/>
      <c r="D19" s="668"/>
      <c r="E19" s="668"/>
      <c r="F19" s="668"/>
      <c r="G19" s="668"/>
      <c r="H19" s="668"/>
      <c r="I19" s="668"/>
      <c r="J19" s="668"/>
      <c r="K19" s="668"/>
      <c r="L19" s="668"/>
      <c r="M19" s="194"/>
      <c r="N19" s="194"/>
      <c r="O19" s="194"/>
    </row>
    <row r="20" spans="1:15" s="167" customFormat="1" ht="19.5" customHeight="1">
      <c r="A20" s="194"/>
      <c r="B20" s="194"/>
      <c r="C20" s="194"/>
      <c r="D20" s="316"/>
      <c r="E20" s="316"/>
      <c r="F20" s="316"/>
      <c r="G20" s="316"/>
      <c r="H20" s="316"/>
      <c r="I20" s="316"/>
      <c r="J20" s="316"/>
      <c r="K20" s="194"/>
      <c r="L20" s="194"/>
      <c r="M20" s="194"/>
      <c r="N20" s="194"/>
      <c r="O20" s="194"/>
    </row>
    <row r="21" spans="1:15" s="194" customFormat="1" ht="20.25" customHeight="1">
      <c r="A21" s="192"/>
      <c r="B21" s="668"/>
      <c r="C21" s="668"/>
      <c r="D21" s="668"/>
      <c r="E21" s="668"/>
      <c r="F21" s="668"/>
      <c r="G21" s="668"/>
      <c r="H21" s="668"/>
      <c r="I21" s="668"/>
      <c r="J21" s="668"/>
      <c r="K21" s="668"/>
      <c r="L21" s="668"/>
      <c r="M21" s="668"/>
    </row>
    <row r="22" spans="1:15" s="194" customFormat="1" ht="20.25" customHeight="1">
      <c r="D22" s="317" t="s">
        <v>2210</v>
      </c>
      <c r="E22" s="317" t="s">
        <v>2211</v>
      </c>
      <c r="F22" s="317" t="s">
        <v>2212</v>
      </c>
      <c r="G22" s="317" t="s">
        <v>2213</v>
      </c>
      <c r="H22" s="317" t="s">
        <v>2214</v>
      </c>
      <c r="I22" s="318" t="s">
        <v>2215</v>
      </c>
      <c r="J22" s="318" t="s">
        <v>2216</v>
      </c>
    </row>
    <row r="23" spans="1:15" s="194" customFormat="1" ht="15.6">
      <c r="A23" s="196" t="s">
        <v>1629</v>
      </c>
      <c r="B23" s="196" t="s">
        <v>2217</v>
      </c>
      <c r="C23" s="196" t="s">
        <v>1631</v>
      </c>
      <c r="D23" s="319" t="s">
        <v>1632</v>
      </c>
      <c r="E23" s="319" t="s">
        <v>1632</v>
      </c>
      <c r="F23" s="319" t="s">
        <v>1632</v>
      </c>
      <c r="G23" s="319" t="s">
        <v>1632</v>
      </c>
      <c r="H23" s="319" t="s">
        <v>1632</v>
      </c>
      <c r="I23" s="319" t="s">
        <v>1632</v>
      </c>
      <c r="J23" s="319" t="s">
        <v>1632</v>
      </c>
      <c r="N23" s="194" t="s">
        <v>1845</v>
      </c>
    </row>
    <row r="24" spans="1:15" s="194" customFormat="1">
      <c r="A24" s="664" t="s">
        <v>1633</v>
      </c>
      <c r="B24" s="198" t="s">
        <v>1634</v>
      </c>
      <c r="C24" s="198" t="s">
        <v>1635</v>
      </c>
      <c r="D24" s="225"/>
      <c r="E24" s="225">
        <v>0.98485</v>
      </c>
      <c r="F24" s="225">
        <v>0.98485</v>
      </c>
      <c r="G24" s="225"/>
      <c r="H24" s="225"/>
      <c r="I24" s="227">
        <v>1.23393</v>
      </c>
      <c r="J24" s="225"/>
    </row>
    <row r="25" spans="1:15" s="194" customFormat="1">
      <c r="A25" s="664"/>
      <c r="B25" s="198" t="s">
        <v>1636</v>
      </c>
      <c r="C25" s="198" t="s">
        <v>1635</v>
      </c>
      <c r="D25" s="225"/>
      <c r="E25" s="225">
        <v>0.98485</v>
      </c>
      <c r="F25" s="225">
        <v>0.98485</v>
      </c>
      <c r="G25" s="225">
        <v>6.4106100000000001</v>
      </c>
      <c r="H25" s="225"/>
      <c r="I25" s="227"/>
      <c r="J25" s="225"/>
    </row>
    <row r="26" spans="1:15" s="194" customFormat="1">
      <c r="A26" s="664"/>
      <c r="B26" s="198" t="s">
        <v>1637</v>
      </c>
      <c r="C26" s="198" t="s">
        <v>1635</v>
      </c>
      <c r="D26" s="225"/>
      <c r="E26" s="225"/>
      <c r="F26" s="225"/>
      <c r="G26" s="225"/>
      <c r="H26" s="225"/>
      <c r="I26" s="227">
        <v>5.9132499999999997</v>
      </c>
      <c r="J26" s="225"/>
    </row>
    <row r="27" spans="1:15" s="194" customFormat="1">
      <c r="A27" s="664"/>
      <c r="B27" s="198" t="s">
        <v>1638</v>
      </c>
      <c r="C27" s="198" t="s">
        <v>1635</v>
      </c>
      <c r="D27" s="225"/>
      <c r="E27" s="225">
        <v>0.98485</v>
      </c>
      <c r="F27" s="225">
        <v>0.98485</v>
      </c>
      <c r="G27" s="225"/>
      <c r="H27" s="225"/>
      <c r="I27" s="227">
        <v>1.23393</v>
      </c>
      <c r="J27" s="225"/>
    </row>
    <row r="28" spans="1:15" s="194" customFormat="1">
      <c r="A28" s="664"/>
      <c r="B28" s="198" t="s">
        <v>1639</v>
      </c>
      <c r="C28" s="198" t="s">
        <v>1635</v>
      </c>
      <c r="D28" s="225"/>
      <c r="E28" s="225">
        <v>0.98485</v>
      </c>
      <c r="F28" s="225"/>
      <c r="G28" s="225"/>
      <c r="H28" s="225"/>
      <c r="I28" s="227">
        <v>1.23393</v>
      </c>
      <c r="J28" s="225"/>
    </row>
    <row r="29" spans="1:15" s="194" customFormat="1">
      <c r="A29" s="664"/>
      <c r="B29" s="198" t="s">
        <v>1640</v>
      </c>
      <c r="C29" s="198" t="s">
        <v>1635</v>
      </c>
      <c r="D29" s="225"/>
      <c r="E29" s="225">
        <v>0.98485</v>
      </c>
      <c r="F29" s="225">
        <v>0.98485</v>
      </c>
      <c r="G29" s="225"/>
      <c r="H29" s="225"/>
      <c r="I29" s="227">
        <v>1.23393</v>
      </c>
      <c r="J29" s="225"/>
    </row>
    <row r="30" spans="1:15" s="194" customFormat="1">
      <c r="A30" s="664"/>
      <c r="B30" s="198" t="s">
        <v>1641</v>
      </c>
      <c r="C30" s="198" t="s">
        <v>1635</v>
      </c>
      <c r="D30" s="225"/>
      <c r="E30" s="225"/>
      <c r="F30" s="225">
        <v>0.98485</v>
      </c>
      <c r="G30" s="225"/>
      <c r="H30" s="225"/>
      <c r="I30" s="227">
        <v>1.23393</v>
      </c>
      <c r="J30" s="225"/>
    </row>
    <row r="31" spans="1:15" s="194" customFormat="1">
      <c r="A31" s="664"/>
      <c r="B31" s="198" t="s">
        <v>1642</v>
      </c>
      <c r="C31" s="198" t="s">
        <v>1635</v>
      </c>
      <c r="D31" s="225"/>
      <c r="E31" s="225"/>
      <c r="F31" s="225">
        <v>0.98485</v>
      </c>
      <c r="G31" s="225"/>
      <c r="H31" s="225"/>
      <c r="I31" s="227">
        <v>1.2643500000000001</v>
      </c>
      <c r="J31" s="225"/>
    </row>
    <row r="32" spans="1:15" s="194" customFormat="1">
      <c r="A32" s="664"/>
      <c r="B32" s="198" t="s">
        <v>1643</v>
      </c>
      <c r="C32" s="198" t="s">
        <v>1635</v>
      </c>
      <c r="D32" s="225"/>
      <c r="E32" s="225"/>
      <c r="F32" s="225">
        <v>0.98485</v>
      </c>
      <c r="G32" s="225"/>
      <c r="H32" s="225"/>
      <c r="I32" s="227">
        <v>19.51726</v>
      </c>
      <c r="J32" s="225"/>
    </row>
    <row r="33" spans="1:10" s="194" customFormat="1">
      <c r="A33" s="664"/>
      <c r="B33" s="198" t="s">
        <v>1644</v>
      </c>
      <c r="C33" s="198" t="s">
        <v>1635</v>
      </c>
      <c r="D33" s="225"/>
      <c r="E33" s="225"/>
      <c r="F33" s="225">
        <v>6.4106100000000001</v>
      </c>
      <c r="G33" s="225">
        <v>6.4106100000000001</v>
      </c>
      <c r="H33" s="225"/>
      <c r="I33" s="227"/>
      <c r="J33" s="225"/>
    </row>
    <row r="34" spans="1:10" s="194" customFormat="1">
      <c r="A34" s="664"/>
      <c r="B34" s="198" t="s">
        <v>1645</v>
      </c>
      <c r="C34" s="198" t="s">
        <v>1635</v>
      </c>
      <c r="D34" s="225"/>
      <c r="E34" s="225"/>
      <c r="F34" s="225">
        <v>6.4106100000000001</v>
      </c>
      <c r="G34" s="225"/>
      <c r="H34" s="225"/>
      <c r="I34" s="227">
        <v>71.95</v>
      </c>
      <c r="J34" s="225"/>
    </row>
    <row r="35" spans="1:10" s="194" customFormat="1">
      <c r="A35" s="664"/>
      <c r="B35" s="198" t="s">
        <v>1646</v>
      </c>
      <c r="C35" s="198" t="s">
        <v>1635</v>
      </c>
      <c r="D35" s="225"/>
      <c r="E35" s="225"/>
      <c r="F35" s="225">
        <v>6.4106100000000001</v>
      </c>
      <c r="G35" s="225"/>
      <c r="H35" s="225"/>
      <c r="I35" s="227"/>
      <c r="J35" s="225"/>
    </row>
    <row r="36" spans="1:10" s="194" customFormat="1">
      <c r="A36" s="664"/>
      <c r="B36" s="198" t="s">
        <v>1647</v>
      </c>
      <c r="C36" s="198" t="s">
        <v>1635</v>
      </c>
      <c r="D36" s="225"/>
      <c r="E36" s="225"/>
      <c r="F36" s="225">
        <v>6.4106100000000001</v>
      </c>
      <c r="G36" s="225">
        <v>6.4106100000000001</v>
      </c>
      <c r="H36" s="225">
        <v>8.8838600000000003</v>
      </c>
      <c r="I36" s="227">
        <v>925.24423000000002</v>
      </c>
      <c r="J36" s="225"/>
    </row>
    <row r="37" spans="1:10" s="194" customFormat="1">
      <c r="D37" s="320"/>
      <c r="E37" s="320"/>
      <c r="F37" s="320"/>
      <c r="G37" s="320"/>
      <c r="H37" s="320"/>
      <c r="I37" s="320"/>
      <c r="J37" s="316"/>
    </row>
    <row r="38" spans="1:10" s="194" customFormat="1">
      <c r="D38" s="320"/>
      <c r="E38" s="320"/>
      <c r="F38" s="320"/>
      <c r="G38" s="320"/>
      <c r="H38" s="320"/>
      <c r="I38" s="320"/>
      <c r="J38" s="316"/>
    </row>
    <row r="39" spans="1:10" s="194" customFormat="1">
      <c r="D39" s="321" t="s">
        <v>2210</v>
      </c>
      <c r="E39" s="317" t="s">
        <v>2211</v>
      </c>
      <c r="F39" s="317" t="s">
        <v>2212</v>
      </c>
      <c r="G39" s="321" t="s">
        <v>2213</v>
      </c>
      <c r="H39" s="321" t="s">
        <v>2214</v>
      </c>
      <c r="I39" s="321" t="s">
        <v>2215</v>
      </c>
      <c r="J39" s="318" t="s">
        <v>2216</v>
      </c>
    </row>
    <row r="40" spans="1:10" s="194" customFormat="1" ht="15.6">
      <c r="A40" s="196" t="s">
        <v>1629</v>
      </c>
      <c r="B40" s="196" t="s">
        <v>2217</v>
      </c>
      <c r="C40" s="196" t="s">
        <v>1631</v>
      </c>
      <c r="D40" s="319" t="s">
        <v>1632</v>
      </c>
      <c r="E40" s="319" t="s">
        <v>1632</v>
      </c>
      <c r="F40" s="319" t="s">
        <v>1632</v>
      </c>
      <c r="G40" s="319" t="s">
        <v>1632</v>
      </c>
      <c r="H40" s="319" t="s">
        <v>1632</v>
      </c>
      <c r="I40" s="319" t="s">
        <v>1632</v>
      </c>
      <c r="J40" s="319" t="s">
        <v>1632</v>
      </c>
    </row>
    <row r="41" spans="1:10" s="194" customFormat="1">
      <c r="A41" s="664" t="s">
        <v>1648</v>
      </c>
      <c r="B41" s="198" t="s">
        <v>1649</v>
      </c>
      <c r="C41" s="198" t="s">
        <v>1635</v>
      </c>
      <c r="D41" s="227"/>
      <c r="E41" s="227"/>
      <c r="F41" s="227">
        <v>6.4106100000000001</v>
      </c>
      <c r="G41" s="227">
        <v>6.4106100000000001</v>
      </c>
      <c r="H41" s="227">
        <v>8.8838600000000003</v>
      </c>
      <c r="I41" s="227">
        <v>1164.3901499999999</v>
      </c>
      <c r="J41" s="225"/>
    </row>
    <row r="42" spans="1:10" s="194" customFormat="1">
      <c r="A42" s="664"/>
      <c r="B42" s="198" t="s">
        <v>1650</v>
      </c>
      <c r="C42" s="198" t="s">
        <v>1635</v>
      </c>
      <c r="D42" s="227"/>
      <c r="E42" s="227">
        <v>6.4106100000000001</v>
      </c>
      <c r="F42" s="227">
        <v>6.4106100000000001</v>
      </c>
      <c r="G42" s="227">
        <v>6.4106100000000001</v>
      </c>
      <c r="H42" s="227"/>
      <c r="I42" s="227">
        <v>8.8838600000000003</v>
      </c>
      <c r="J42" s="225"/>
    </row>
    <row r="43" spans="1:10" s="194" customFormat="1">
      <c r="A43" s="664"/>
      <c r="B43" s="198" t="s">
        <v>1651</v>
      </c>
      <c r="C43" s="198" t="s">
        <v>1635</v>
      </c>
      <c r="D43" s="227"/>
      <c r="E43" s="227"/>
      <c r="F43" s="227">
        <v>6.4106100000000001</v>
      </c>
      <c r="G43" s="227">
        <v>6.4106100000000001</v>
      </c>
      <c r="H43" s="227"/>
      <c r="I43" s="227">
        <v>496.68302999999997</v>
      </c>
      <c r="J43" s="225"/>
    </row>
    <row r="44" spans="1:10" s="194" customFormat="1">
      <c r="D44" s="322"/>
      <c r="E44" s="322"/>
      <c r="F44" s="322"/>
      <c r="G44" s="322"/>
      <c r="H44" s="322"/>
      <c r="I44" s="322"/>
      <c r="J44" s="316"/>
    </row>
    <row r="45" spans="1:10" s="194" customFormat="1">
      <c r="D45" s="322"/>
      <c r="E45" s="322"/>
      <c r="F45" s="322"/>
      <c r="G45" s="322"/>
      <c r="H45" s="322"/>
      <c r="I45" s="322"/>
      <c r="J45" s="316"/>
    </row>
    <row r="46" spans="1:10" s="194" customFormat="1">
      <c r="D46" s="321" t="s">
        <v>2210</v>
      </c>
      <c r="E46" s="317" t="s">
        <v>2211</v>
      </c>
      <c r="F46" s="317" t="s">
        <v>2212</v>
      </c>
      <c r="G46" s="321" t="s">
        <v>2213</v>
      </c>
      <c r="H46" s="321" t="s">
        <v>2214</v>
      </c>
      <c r="I46" s="321" t="s">
        <v>2215</v>
      </c>
      <c r="J46" s="317" t="s">
        <v>2216</v>
      </c>
    </row>
    <row r="47" spans="1:10" s="194" customFormat="1" ht="15.6">
      <c r="A47" s="196" t="s">
        <v>1629</v>
      </c>
      <c r="B47" s="196" t="s">
        <v>2217</v>
      </c>
      <c r="C47" s="196" t="s">
        <v>1631</v>
      </c>
      <c r="D47" s="319" t="s">
        <v>1632</v>
      </c>
      <c r="E47" s="319" t="s">
        <v>1632</v>
      </c>
      <c r="F47" s="319" t="s">
        <v>1632</v>
      </c>
      <c r="G47" s="319" t="s">
        <v>1632</v>
      </c>
      <c r="H47" s="319" t="s">
        <v>1632</v>
      </c>
      <c r="I47" s="319" t="s">
        <v>1632</v>
      </c>
      <c r="J47" s="319" t="s">
        <v>1632</v>
      </c>
    </row>
    <row r="48" spans="1:10" s="194" customFormat="1">
      <c r="A48" s="664" t="s">
        <v>2218</v>
      </c>
      <c r="B48" s="198" t="s">
        <v>2219</v>
      </c>
      <c r="C48" s="198" t="s">
        <v>1635</v>
      </c>
      <c r="D48" s="227"/>
      <c r="E48" s="227"/>
      <c r="F48" s="227"/>
      <c r="G48" s="225">
        <v>6.4106100000000001</v>
      </c>
      <c r="H48" s="227"/>
      <c r="I48" s="227">
        <v>497.04415999999998</v>
      </c>
      <c r="J48" s="227"/>
    </row>
    <row r="49" spans="1:10" s="194" customFormat="1">
      <c r="A49" s="664"/>
      <c r="B49" s="198" t="s">
        <v>2220</v>
      </c>
      <c r="C49" s="198" t="s">
        <v>1635</v>
      </c>
      <c r="D49" s="227"/>
      <c r="E49" s="227"/>
      <c r="F49" s="227"/>
      <c r="G49" s="225">
        <v>6.4106100000000001</v>
      </c>
      <c r="H49" s="225">
        <v>8.8838600000000003</v>
      </c>
      <c r="I49" s="227">
        <v>700.20961</v>
      </c>
      <c r="J49" s="227">
        <v>8.8838600000000003</v>
      </c>
    </row>
    <row r="50" spans="1:10" s="194" customFormat="1">
      <c r="A50" s="664"/>
      <c r="B50" s="198" t="s">
        <v>2221</v>
      </c>
      <c r="C50" s="198" t="s">
        <v>1635</v>
      </c>
      <c r="D50" s="227"/>
      <c r="E50" s="227"/>
      <c r="F50" s="227"/>
      <c r="G50" s="225">
        <v>6.4106100000000001</v>
      </c>
      <c r="H50" s="225">
        <v>8.8838600000000003</v>
      </c>
      <c r="I50" s="227">
        <v>646.60631999999998</v>
      </c>
      <c r="J50" s="227">
        <v>8.8838600000000003</v>
      </c>
    </row>
    <row r="51" spans="1:10" s="194" customFormat="1">
      <c r="A51" s="664"/>
      <c r="B51" s="198" t="s">
        <v>2222</v>
      </c>
      <c r="C51" s="198" t="s">
        <v>1635</v>
      </c>
      <c r="D51" s="227"/>
      <c r="E51" s="227"/>
      <c r="F51" s="227"/>
      <c r="G51" s="225">
        <v>6.4106100000000001</v>
      </c>
      <c r="H51" s="225">
        <v>8.8838600000000003</v>
      </c>
      <c r="I51" s="227">
        <v>655.98689999999999</v>
      </c>
      <c r="J51" s="227">
        <v>8.8838600000000003</v>
      </c>
    </row>
    <row r="52" spans="1:10" s="194" customFormat="1">
      <c r="A52" s="664"/>
      <c r="B52" s="198" t="s">
        <v>2223</v>
      </c>
      <c r="C52" s="198" t="s">
        <v>1635</v>
      </c>
      <c r="D52" s="227"/>
      <c r="E52" s="227"/>
      <c r="F52" s="227"/>
      <c r="G52" s="225">
        <v>6.4106100000000001</v>
      </c>
      <c r="H52" s="227"/>
      <c r="I52" s="227">
        <v>520.33420000000001</v>
      </c>
      <c r="J52" s="227"/>
    </row>
    <row r="53" spans="1:10" s="194" customFormat="1">
      <c r="D53" s="322"/>
      <c r="E53" s="322"/>
      <c r="F53" s="322"/>
      <c r="G53" s="322"/>
      <c r="H53" s="322"/>
      <c r="I53" s="322"/>
      <c r="J53" s="316"/>
    </row>
    <row r="54" spans="1:10" s="194" customFormat="1">
      <c r="D54" s="322"/>
      <c r="E54" s="322"/>
      <c r="F54" s="322"/>
      <c r="G54" s="322"/>
      <c r="H54" s="322"/>
      <c r="I54" s="322"/>
      <c r="J54" s="316"/>
    </row>
    <row r="55" spans="1:10" s="194" customFormat="1">
      <c r="D55" s="321" t="s">
        <v>2210</v>
      </c>
      <c r="E55" s="317" t="s">
        <v>2211</v>
      </c>
      <c r="F55" s="317" t="s">
        <v>2212</v>
      </c>
      <c r="G55" s="321" t="s">
        <v>2213</v>
      </c>
      <c r="H55" s="321" t="s">
        <v>2214</v>
      </c>
      <c r="I55" s="321" t="s">
        <v>2215</v>
      </c>
      <c r="J55" s="317" t="s">
        <v>2216</v>
      </c>
    </row>
    <row r="56" spans="1:10" s="194" customFormat="1" ht="15.6">
      <c r="A56" s="196" t="s">
        <v>1629</v>
      </c>
      <c r="B56" s="196" t="s">
        <v>2217</v>
      </c>
      <c r="C56" s="196" t="s">
        <v>1631</v>
      </c>
      <c r="D56" s="319" t="s">
        <v>1632</v>
      </c>
      <c r="E56" s="319" t="s">
        <v>1632</v>
      </c>
      <c r="F56" s="319" t="s">
        <v>1632</v>
      </c>
      <c r="G56" s="319" t="s">
        <v>1632</v>
      </c>
      <c r="H56" s="319" t="s">
        <v>1632</v>
      </c>
      <c r="I56" s="319" t="s">
        <v>1632</v>
      </c>
      <c r="J56" s="319" t="s">
        <v>1632</v>
      </c>
    </row>
    <row r="57" spans="1:10" s="194" customFormat="1">
      <c r="A57" s="664" t="s">
        <v>1656</v>
      </c>
      <c r="B57" s="198" t="s">
        <v>2224</v>
      </c>
      <c r="C57" s="198" t="s">
        <v>1635</v>
      </c>
      <c r="D57" s="323"/>
      <c r="E57" s="225">
        <v>6.4106100000000001</v>
      </c>
      <c r="F57" s="323"/>
      <c r="G57" s="225"/>
      <c r="H57" s="323"/>
      <c r="I57" s="225">
        <v>8.8838600000000003</v>
      </c>
      <c r="J57" s="323"/>
    </row>
    <row r="58" spans="1:10" s="194" customFormat="1">
      <c r="A58" s="664"/>
      <c r="B58" s="198" t="s">
        <v>2225</v>
      </c>
      <c r="C58" s="198" t="s">
        <v>1635</v>
      </c>
      <c r="D58" s="323"/>
      <c r="E58" s="225">
        <v>6.4106100000000001</v>
      </c>
      <c r="F58" s="323"/>
      <c r="G58" s="225">
        <v>6.4106100000000001</v>
      </c>
      <c r="H58" s="323"/>
      <c r="I58" s="225">
        <v>8.8838600000000003</v>
      </c>
      <c r="J58" s="323"/>
    </row>
    <row r="59" spans="1:10" s="194" customFormat="1">
      <c r="A59" s="664"/>
      <c r="B59" s="198" t="s">
        <v>2226</v>
      </c>
      <c r="C59" s="198" t="s">
        <v>1635</v>
      </c>
      <c r="D59" s="323"/>
      <c r="E59" s="225">
        <v>6.4106100000000001</v>
      </c>
      <c r="F59" s="323"/>
      <c r="G59" s="225">
        <v>6.4106100000000001</v>
      </c>
      <c r="H59" s="323"/>
      <c r="I59" s="225">
        <v>8.8838600000000003</v>
      </c>
      <c r="J59" s="323"/>
    </row>
    <row r="60" spans="1:10" s="194" customFormat="1">
      <c r="A60" s="664"/>
      <c r="B60" s="198" t="s">
        <v>2227</v>
      </c>
      <c r="C60" s="198" t="s">
        <v>1635</v>
      </c>
      <c r="D60" s="323"/>
      <c r="E60" s="225">
        <v>6.4106100000000001</v>
      </c>
      <c r="F60" s="323"/>
      <c r="G60" s="225">
        <v>6.4106100000000001</v>
      </c>
      <c r="H60" s="323"/>
      <c r="I60" s="225">
        <v>8.8838600000000003</v>
      </c>
      <c r="J60" s="323"/>
    </row>
    <row r="61" spans="1:10" s="194" customFormat="1">
      <c r="A61" s="664"/>
      <c r="B61" s="198" t="s">
        <v>2228</v>
      </c>
      <c r="C61" s="198" t="s">
        <v>1635</v>
      </c>
      <c r="D61" s="323"/>
      <c r="E61" s="225">
        <v>6.4106100000000001</v>
      </c>
      <c r="F61" s="323"/>
      <c r="G61" s="225"/>
      <c r="H61" s="323"/>
      <c r="I61" s="225">
        <v>8.8838600000000003</v>
      </c>
      <c r="J61" s="323"/>
    </row>
    <row r="62" spans="1:10" s="194" customFormat="1">
      <c r="D62" s="322"/>
      <c r="E62" s="322"/>
      <c r="F62" s="322"/>
      <c r="G62" s="322"/>
      <c r="H62" s="316"/>
      <c r="I62" s="322"/>
      <c r="J62" s="316"/>
    </row>
    <row r="63" spans="1:10" s="194" customFormat="1">
      <c r="D63" s="322"/>
      <c r="E63" s="322"/>
      <c r="F63" s="322"/>
      <c r="G63" s="322"/>
      <c r="H63" s="322"/>
      <c r="I63" s="322"/>
      <c r="J63" s="316"/>
    </row>
    <row r="64" spans="1:10" s="194" customFormat="1">
      <c r="D64" s="321" t="s">
        <v>2210</v>
      </c>
      <c r="E64" s="317" t="s">
        <v>2211</v>
      </c>
      <c r="F64" s="317" t="s">
        <v>2212</v>
      </c>
      <c r="G64" s="321" t="s">
        <v>2213</v>
      </c>
      <c r="H64" s="321" t="s">
        <v>2214</v>
      </c>
      <c r="I64" s="321" t="s">
        <v>2215</v>
      </c>
      <c r="J64" s="317" t="s">
        <v>2216</v>
      </c>
    </row>
    <row r="65" spans="1:10" s="194" customFormat="1" ht="15.6">
      <c r="A65" s="196" t="s">
        <v>1629</v>
      </c>
      <c r="B65" s="196" t="s">
        <v>2217</v>
      </c>
      <c r="C65" s="196" t="s">
        <v>1631</v>
      </c>
      <c r="D65" s="319" t="s">
        <v>1632</v>
      </c>
      <c r="E65" s="319" t="s">
        <v>1632</v>
      </c>
      <c r="F65" s="319" t="s">
        <v>1632</v>
      </c>
      <c r="G65" s="319" t="s">
        <v>1632</v>
      </c>
      <c r="H65" s="319" t="s">
        <v>1632</v>
      </c>
      <c r="I65" s="319" t="s">
        <v>1632</v>
      </c>
      <c r="J65" s="319" t="s">
        <v>1632</v>
      </c>
    </row>
    <row r="66" spans="1:10" s="194" customFormat="1">
      <c r="A66" s="664" t="s">
        <v>1664</v>
      </c>
      <c r="B66" s="198" t="s">
        <v>1665</v>
      </c>
      <c r="C66" s="198" t="s">
        <v>1635</v>
      </c>
      <c r="D66" s="323"/>
      <c r="E66" s="225">
        <v>6.4106100000000001</v>
      </c>
      <c r="F66" s="225">
        <v>6.4106100000000001</v>
      </c>
      <c r="G66" s="225">
        <v>6.4106100000000001</v>
      </c>
      <c r="H66" s="323"/>
      <c r="I66" s="225">
        <v>8.8838600000000003</v>
      </c>
      <c r="J66" s="323"/>
    </row>
    <row r="67" spans="1:10" s="194" customFormat="1">
      <c r="A67" s="664"/>
      <c r="B67" s="198" t="s">
        <v>1666</v>
      </c>
      <c r="C67" s="198" t="s">
        <v>1635</v>
      </c>
      <c r="D67" s="323"/>
      <c r="E67" s="225">
        <v>6.4106100000000001</v>
      </c>
      <c r="F67" s="225">
        <v>6.4106100000000001</v>
      </c>
      <c r="G67" s="225">
        <v>6.4106100000000001</v>
      </c>
      <c r="H67" s="323"/>
      <c r="I67" s="225">
        <v>8.8838600000000003</v>
      </c>
      <c r="J67" s="323"/>
    </row>
    <row r="68" spans="1:10" s="194" customFormat="1">
      <c r="A68" s="664"/>
      <c r="B68" s="198" t="s">
        <v>1667</v>
      </c>
      <c r="C68" s="198" t="s">
        <v>1635</v>
      </c>
      <c r="D68" s="323"/>
      <c r="E68" s="225">
        <v>6.4106100000000001</v>
      </c>
      <c r="F68" s="225">
        <v>6.4106100000000001</v>
      </c>
      <c r="G68" s="225">
        <v>6.4106100000000001</v>
      </c>
      <c r="H68" s="323"/>
      <c r="I68" s="225">
        <v>8.8838600000000003</v>
      </c>
      <c r="J68" s="323"/>
    </row>
    <row r="69" spans="1:10" s="194" customFormat="1">
      <c r="A69" s="664"/>
      <c r="B69" s="198" t="s">
        <v>1668</v>
      </c>
      <c r="C69" s="198" t="s">
        <v>1635</v>
      </c>
      <c r="D69" s="323"/>
      <c r="E69" s="225">
        <v>6.4106100000000001</v>
      </c>
      <c r="F69" s="225">
        <v>6.4106100000000001</v>
      </c>
      <c r="G69" s="225">
        <v>6.4106100000000001</v>
      </c>
      <c r="H69" s="323"/>
      <c r="I69" s="225">
        <v>8.8838600000000003</v>
      </c>
      <c r="J69" s="323"/>
    </row>
    <row r="70" spans="1:10" s="194" customFormat="1">
      <c r="D70" s="322"/>
      <c r="E70" s="322"/>
      <c r="F70" s="322"/>
      <c r="G70" s="322"/>
      <c r="H70" s="322"/>
      <c r="I70" s="322"/>
      <c r="J70" s="316"/>
    </row>
    <row r="71" spans="1:10" s="194" customFormat="1">
      <c r="D71" s="322"/>
      <c r="E71" s="322"/>
      <c r="F71" s="322"/>
      <c r="G71" s="322"/>
      <c r="H71" s="322"/>
      <c r="I71" s="322"/>
      <c r="J71" s="316"/>
    </row>
    <row r="72" spans="1:10" s="194" customFormat="1">
      <c r="D72" s="321" t="s">
        <v>2210</v>
      </c>
      <c r="E72" s="317" t="s">
        <v>2211</v>
      </c>
      <c r="F72" s="317" t="s">
        <v>2212</v>
      </c>
      <c r="G72" s="321" t="s">
        <v>2213</v>
      </c>
      <c r="H72" s="321" t="s">
        <v>2214</v>
      </c>
      <c r="I72" s="321" t="s">
        <v>2215</v>
      </c>
      <c r="J72" s="317" t="s">
        <v>2216</v>
      </c>
    </row>
    <row r="73" spans="1:10" s="194" customFormat="1" ht="15.6">
      <c r="A73" s="196" t="s">
        <v>1629</v>
      </c>
      <c r="B73" s="196" t="s">
        <v>2217</v>
      </c>
      <c r="C73" s="196" t="s">
        <v>1631</v>
      </c>
      <c r="D73" s="319" t="s">
        <v>1632</v>
      </c>
      <c r="E73" s="319" t="s">
        <v>1632</v>
      </c>
      <c r="F73" s="319" t="s">
        <v>1632</v>
      </c>
      <c r="G73" s="319" t="s">
        <v>1632</v>
      </c>
      <c r="H73" s="319" t="s">
        <v>1632</v>
      </c>
      <c r="I73" s="319" t="s">
        <v>1632</v>
      </c>
      <c r="J73" s="319" t="s">
        <v>1632</v>
      </c>
    </row>
    <row r="74" spans="1:10" s="194" customFormat="1">
      <c r="A74" s="664" t="s">
        <v>1669</v>
      </c>
      <c r="B74" s="198" t="s">
        <v>1670</v>
      </c>
      <c r="C74" s="198" t="s">
        <v>1635</v>
      </c>
      <c r="D74" s="323"/>
      <c r="E74" s="225">
        <v>6.4106100000000001</v>
      </c>
      <c r="F74" s="225">
        <v>6.4106100000000001</v>
      </c>
      <c r="G74" s="225">
        <v>6.4106100000000001</v>
      </c>
      <c r="H74" s="323"/>
      <c r="I74" s="225">
        <v>8.8838600000000003</v>
      </c>
      <c r="J74" s="323"/>
    </row>
    <row r="75" spans="1:10" s="194" customFormat="1">
      <c r="A75" s="664"/>
      <c r="B75" s="198" t="s">
        <v>1671</v>
      </c>
      <c r="C75" s="198" t="s">
        <v>1635</v>
      </c>
      <c r="D75" s="323"/>
      <c r="E75" s="225">
        <v>6.4106100000000001</v>
      </c>
      <c r="F75" s="225">
        <v>6.4106100000000001</v>
      </c>
      <c r="G75" s="225">
        <v>6.4106100000000001</v>
      </c>
      <c r="H75" s="323"/>
      <c r="I75" s="225">
        <v>8.8838600000000003</v>
      </c>
      <c r="J75" s="323"/>
    </row>
    <row r="76" spans="1:10" s="194" customFormat="1">
      <c r="A76" s="664"/>
      <c r="B76" s="198" t="s">
        <v>1672</v>
      </c>
      <c r="C76" s="198" t="s">
        <v>1635</v>
      </c>
      <c r="D76" s="323"/>
      <c r="E76" s="225">
        <v>6.4106100000000001</v>
      </c>
      <c r="F76" s="225">
        <v>6.4106100000000001</v>
      </c>
      <c r="G76" s="225">
        <v>6.4106100000000001</v>
      </c>
      <c r="H76" s="323"/>
      <c r="I76" s="225">
        <v>8.8838600000000003</v>
      </c>
      <c r="J76" s="323"/>
    </row>
    <row r="77" spans="1:10" s="194" customFormat="1">
      <c r="A77" s="664"/>
      <c r="B77" s="198" t="s">
        <v>1673</v>
      </c>
      <c r="C77" s="198" t="s">
        <v>1635</v>
      </c>
      <c r="D77" s="323"/>
      <c r="E77" s="225">
        <v>6.4106100000000001</v>
      </c>
      <c r="F77" s="225">
        <v>6.4106100000000001</v>
      </c>
      <c r="G77" s="225">
        <v>6.4106100000000001</v>
      </c>
      <c r="H77" s="323"/>
      <c r="I77" s="225">
        <v>8.8838600000000003</v>
      </c>
      <c r="J77" s="323"/>
    </row>
    <row r="78" spans="1:10" s="194" customFormat="1">
      <c r="A78" s="664"/>
      <c r="B78" s="198" t="s">
        <v>1674</v>
      </c>
      <c r="C78" s="198" t="s">
        <v>1635</v>
      </c>
      <c r="D78" s="323"/>
      <c r="E78" s="225">
        <v>6.4106100000000001</v>
      </c>
      <c r="F78" s="225">
        <v>6.4106100000000001</v>
      </c>
      <c r="G78" s="225">
        <v>6.4106100000000001</v>
      </c>
      <c r="H78" s="323"/>
      <c r="I78" s="225">
        <v>8.8838600000000003</v>
      </c>
      <c r="J78" s="323"/>
    </row>
    <row r="79" spans="1:10" s="194" customFormat="1">
      <c r="A79" s="664"/>
      <c r="B79" s="198" t="s">
        <v>1675</v>
      </c>
      <c r="C79" s="198" t="s">
        <v>1635</v>
      </c>
      <c r="D79" s="323"/>
      <c r="E79" s="225">
        <v>6.4106100000000001</v>
      </c>
      <c r="F79" s="225">
        <v>6.4106100000000001</v>
      </c>
      <c r="G79" s="225">
        <v>6.4106100000000001</v>
      </c>
      <c r="H79" s="323"/>
      <c r="I79" s="225">
        <v>8.8838600000000003</v>
      </c>
      <c r="J79" s="323"/>
    </row>
    <row r="80" spans="1:10" s="194" customFormat="1">
      <c r="A80" s="664"/>
      <c r="B80" s="198" t="s">
        <v>1676</v>
      </c>
      <c r="C80" s="198" t="s">
        <v>1635</v>
      </c>
      <c r="D80" s="323"/>
      <c r="E80" s="225">
        <v>6.4106100000000001</v>
      </c>
      <c r="F80" s="225">
        <v>6.4106100000000001</v>
      </c>
      <c r="G80" s="225">
        <v>6.4106100000000001</v>
      </c>
      <c r="H80" s="323"/>
      <c r="I80" s="225">
        <v>8.8838600000000003</v>
      </c>
      <c r="J80" s="323"/>
    </row>
    <row r="81" spans="1:13" s="194" customFormat="1">
      <c r="A81" s="664"/>
      <c r="B81" s="198" t="s">
        <v>1677</v>
      </c>
      <c r="C81" s="198" t="s">
        <v>1635</v>
      </c>
      <c r="D81" s="323"/>
      <c r="E81" s="225">
        <v>6.4106100000000001</v>
      </c>
      <c r="F81" s="225">
        <v>6.4106100000000001</v>
      </c>
      <c r="G81" s="225">
        <v>6.4106100000000001</v>
      </c>
      <c r="H81" s="323"/>
      <c r="I81" s="225">
        <v>8.8838600000000003</v>
      </c>
      <c r="J81" s="323"/>
    </row>
    <row r="82" spans="1:13" s="194" customFormat="1">
      <c r="A82" s="664"/>
      <c r="B82" s="198" t="s">
        <v>1678</v>
      </c>
      <c r="C82" s="198" t="s">
        <v>1635</v>
      </c>
      <c r="D82" s="323"/>
      <c r="E82" s="225">
        <v>6.4106100000000001</v>
      </c>
      <c r="F82" s="225">
        <v>6.4106100000000001</v>
      </c>
      <c r="G82" s="225">
        <v>6.4106100000000001</v>
      </c>
      <c r="H82" s="323"/>
      <c r="I82" s="225">
        <v>8.8838600000000003</v>
      </c>
      <c r="J82" s="323"/>
    </row>
    <row r="83" spans="1:13" s="194" customFormat="1">
      <c r="D83" s="322"/>
      <c r="E83" s="322"/>
      <c r="F83" s="322"/>
      <c r="G83" s="322"/>
      <c r="H83" s="322"/>
      <c r="I83" s="322"/>
      <c r="J83" s="316"/>
    </row>
    <row r="84" spans="1:13" s="194" customFormat="1">
      <c r="D84" s="322"/>
      <c r="E84" s="322"/>
      <c r="F84" s="322"/>
      <c r="G84" s="322"/>
      <c r="H84" s="322"/>
      <c r="I84" s="322"/>
      <c r="J84" s="316"/>
    </row>
    <row r="85" spans="1:13" s="194" customFormat="1">
      <c r="D85" s="321" t="s">
        <v>2210</v>
      </c>
      <c r="E85" s="317" t="s">
        <v>2211</v>
      </c>
      <c r="F85" s="317" t="s">
        <v>2212</v>
      </c>
      <c r="G85" s="321" t="s">
        <v>2213</v>
      </c>
      <c r="H85" s="321" t="s">
        <v>2214</v>
      </c>
      <c r="I85" s="321" t="s">
        <v>2215</v>
      </c>
      <c r="J85" s="317" t="s">
        <v>2216</v>
      </c>
    </row>
    <row r="86" spans="1:13" s="194" customFormat="1" ht="15.6">
      <c r="A86" s="196" t="s">
        <v>1629</v>
      </c>
      <c r="B86" s="196" t="s">
        <v>2217</v>
      </c>
      <c r="C86" s="196" t="s">
        <v>1631</v>
      </c>
      <c r="D86" s="319" t="s">
        <v>1632</v>
      </c>
      <c r="E86" s="319" t="s">
        <v>1632</v>
      </c>
      <c r="F86" s="319" t="s">
        <v>1632</v>
      </c>
      <c r="G86" s="319" t="s">
        <v>1632</v>
      </c>
      <c r="H86" s="319" t="s">
        <v>1632</v>
      </c>
      <c r="I86" s="319" t="s">
        <v>1632</v>
      </c>
      <c r="J86" s="319" t="s">
        <v>1632</v>
      </c>
    </row>
    <row r="87" spans="1:13" s="194" customFormat="1">
      <c r="A87" s="664" t="s">
        <v>1679</v>
      </c>
      <c r="B87" s="198" t="s">
        <v>1587</v>
      </c>
      <c r="C87" s="198" t="s">
        <v>1635</v>
      </c>
      <c r="D87" s="323"/>
      <c r="E87" s="324"/>
      <c r="F87" s="225">
        <v>6.4106100000000001</v>
      </c>
      <c r="G87" s="225">
        <v>6.4106100000000001</v>
      </c>
      <c r="H87" s="225">
        <v>8.8838600000000003</v>
      </c>
      <c r="I87" s="225">
        <v>1164.3901499999999</v>
      </c>
      <c r="J87" s="323"/>
    </row>
    <row r="88" spans="1:13" s="194" customFormat="1">
      <c r="A88" s="664"/>
      <c r="B88" s="198" t="s">
        <v>1680</v>
      </c>
      <c r="C88" s="198" t="s">
        <v>1635</v>
      </c>
      <c r="D88" s="323"/>
      <c r="E88" s="324"/>
      <c r="F88" s="225">
        <v>6.4106100000000001</v>
      </c>
      <c r="G88" s="225">
        <v>6.4106100000000001</v>
      </c>
      <c r="H88" s="225">
        <v>8.8838600000000003</v>
      </c>
      <c r="I88" s="225">
        <v>1164.3901499999999</v>
      </c>
      <c r="J88" s="323"/>
    </row>
    <row r="89" spans="1:13" s="194" customFormat="1">
      <c r="A89" s="664"/>
      <c r="B89" s="198" t="s">
        <v>1681</v>
      </c>
      <c r="C89" s="198" t="s">
        <v>1635</v>
      </c>
      <c r="D89" s="323"/>
      <c r="E89" s="324"/>
      <c r="F89" s="225">
        <v>6.4106100000000001</v>
      </c>
      <c r="G89" s="225">
        <v>6.4106100000000001</v>
      </c>
      <c r="H89" s="225">
        <v>8.8838600000000003</v>
      </c>
      <c r="I89" s="225">
        <v>1164.3901499999999</v>
      </c>
      <c r="J89" s="323"/>
    </row>
    <row r="90" spans="1:13" s="194" customFormat="1">
      <c r="A90" s="192"/>
      <c r="B90" s="192"/>
      <c r="C90" s="192"/>
      <c r="D90" s="325"/>
      <c r="E90" s="325"/>
      <c r="F90" s="325"/>
      <c r="G90" s="325"/>
      <c r="H90" s="325"/>
      <c r="I90" s="322"/>
      <c r="J90" s="316"/>
      <c r="K90" s="192"/>
      <c r="L90" s="192"/>
    </row>
    <row r="91" spans="1:13" s="194" customFormat="1">
      <c r="A91" s="192"/>
      <c r="B91" s="192"/>
      <c r="C91" s="192"/>
      <c r="D91" s="316"/>
      <c r="E91" s="325"/>
      <c r="F91" s="325"/>
      <c r="G91" s="325"/>
      <c r="H91" s="325"/>
      <c r="I91" s="322"/>
      <c r="J91" s="325"/>
      <c r="K91" s="192"/>
      <c r="L91" s="192"/>
      <c r="M91" s="192"/>
    </row>
    <row r="92" spans="1:13" s="167" customFormat="1" ht="15.6">
      <c r="A92" s="298" t="s">
        <v>1682</v>
      </c>
      <c r="B92" s="191"/>
      <c r="C92" s="191"/>
      <c r="D92" s="191"/>
      <c r="E92" s="191"/>
      <c r="F92" s="191"/>
      <c r="G92" s="191"/>
      <c r="H92" s="191"/>
      <c r="I92" s="191"/>
      <c r="J92" s="191"/>
      <c r="K92" s="191"/>
      <c r="L92" s="191"/>
      <c r="M92" s="191"/>
    </row>
    <row r="93" spans="1:13" s="167" customFormat="1" ht="21" customHeight="1">
      <c r="A93" s="673" t="s">
        <v>2229</v>
      </c>
      <c r="B93" s="673"/>
      <c r="C93" s="673"/>
      <c r="D93" s="673"/>
      <c r="E93" s="673"/>
      <c r="F93" s="673"/>
      <c r="G93" s="673"/>
      <c r="H93" s="673"/>
      <c r="I93" s="673"/>
      <c r="J93" s="673"/>
      <c r="K93" s="673"/>
      <c r="L93" s="673"/>
      <c r="M93" s="191"/>
    </row>
    <row r="94" spans="1:13" s="167" customFormat="1" ht="27" customHeight="1">
      <c r="A94" s="670" t="s">
        <v>2230</v>
      </c>
      <c r="B94" s="670"/>
      <c r="C94" s="670"/>
      <c r="D94" s="670"/>
      <c r="E94" s="670"/>
      <c r="F94" s="670"/>
      <c r="G94" s="670"/>
      <c r="H94" s="670"/>
      <c r="I94" s="670"/>
      <c r="J94" s="670"/>
      <c r="K94" s="670"/>
      <c r="L94" s="670"/>
      <c r="M94" s="191"/>
    </row>
    <row r="95" spans="1:13" s="167" customFormat="1" ht="19.350000000000001" customHeight="1">
      <c r="A95" s="673" t="s">
        <v>2231</v>
      </c>
      <c r="B95" s="673"/>
      <c r="C95" s="673"/>
      <c r="D95" s="673"/>
      <c r="E95" s="673"/>
      <c r="F95" s="673"/>
      <c r="G95" s="673"/>
      <c r="H95" s="673"/>
      <c r="I95" s="673"/>
      <c r="J95" s="673"/>
      <c r="K95" s="673"/>
      <c r="L95" s="673"/>
      <c r="M95" s="191"/>
    </row>
    <row r="96" spans="1:13" s="167" customFormat="1" ht="52.5" customHeight="1">
      <c r="A96" s="668" t="s">
        <v>2232</v>
      </c>
      <c r="B96" s="668"/>
      <c r="C96" s="668"/>
      <c r="D96" s="668"/>
      <c r="E96" s="668"/>
      <c r="F96" s="668"/>
      <c r="G96" s="668"/>
      <c r="H96" s="668"/>
      <c r="I96" s="668"/>
      <c r="J96" s="668"/>
      <c r="K96" s="668"/>
      <c r="L96" s="668"/>
      <c r="M96" s="191"/>
    </row>
    <row r="97" spans="1:13" s="167" customFormat="1" ht="14.7" customHeight="1">
      <c r="A97" s="673" t="s">
        <v>2233</v>
      </c>
      <c r="B97" s="673"/>
      <c r="C97" s="673"/>
      <c r="D97" s="673"/>
      <c r="E97" s="673"/>
      <c r="F97" s="673"/>
      <c r="G97" s="673"/>
      <c r="H97" s="673"/>
      <c r="I97" s="673"/>
      <c r="J97" s="673"/>
      <c r="K97" s="673"/>
      <c r="L97" s="673"/>
      <c r="M97" s="191"/>
    </row>
    <row r="98" spans="1:13" s="167" customFormat="1" ht="14.7" customHeight="1">
      <c r="A98" s="668" t="s">
        <v>2234</v>
      </c>
      <c r="B98" s="668"/>
      <c r="C98" s="668"/>
      <c r="D98" s="668"/>
      <c r="E98" s="668"/>
      <c r="F98" s="668"/>
      <c r="G98" s="668"/>
      <c r="H98" s="668"/>
      <c r="I98" s="668"/>
      <c r="J98" s="668"/>
      <c r="K98" s="668"/>
      <c r="L98" s="668"/>
      <c r="M98" s="191"/>
    </row>
    <row r="99" spans="1:13" s="167" customFormat="1">
      <c r="A99" s="190"/>
      <c r="B99" s="190"/>
      <c r="C99" s="190"/>
      <c r="D99" s="190"/>
      <c r="E99" s="190"/>
      <c r="F99" s="190"/>
      <c r="G99" s="190"/>
      <c r="H99" s="190"/>
      <c r="I99" s="190"/>
      <c r="J99" s="190"/>
      <c r="K99" s="190"/>
      <c r="L99" s="190"/>
      <c r="M99" s="191"/>
    </row>
    <row r="100" spans="1:13" s="167" customFormat="1" ht="22.5" customHeight="1">
      <c r="A100" s="671" t="s">
        <v>1685</v>
      </c>
      <c r="B100" s="671"/>
      <c r="C100" s="671"/>
      <c r="D100" s="671"/>
      <c r="E100" s="671"/>
      <c r="F100" s="671"/>
      <c r="G100" s="671"/>
      <c r="H100" s="671"/>
      <c r="I100" s="671"/>
      <c r="J100" s="671"/>
      <c r="K100" s="671"/>
      <c r="L100" s="671"/>
      <c r="M100" s="191"/>
    </row>
    <row r="101" spans="1:13" s="167" customFormat="1">
      <c r="D101" s="309"/>
      <c r="E101" s="309"/>
      <c r="F101" s="309"/>
      <c r="G101" s="309"/>
      <c r="H101" s="309"/>
      <c r="I101" s="309"/>
      <c r="J101" s="309"/>
    </row>
    <row r="102" spans="1:13" s="167" customFormat="1">
      <c r="D102" s="309"/>
      <c r="E102" s="309"/>
      <c r="F102" s="309"/>
      <c r="G102" s="309"/>
      <c r="H102" s="309"/>
      <c r="I102" s="309"/>
      <c r="J102" s="309"/>
    </row>
    <row r="103" spans="1:13" s="167" customFormat="1">
      <c r="D103" s="309"/>
      <c r="E103" s="309"/>
      <c r="F103" s="309"/>
      <c r="G103" s="309"/>
      <c r="H103" s="309"/>
      <c r="I103" s="309"/>
      <c r="J103" s="309"/>
    </row>
    <row r="104" spans="1:13" s="167" customFormat="1">
      <c r="D104" s="309"/>
      <c r="E104" s="309"/>
      <c r="F104" s="309"/>
      <c r="G104" s="309"/>
      <c r="H104" s="309"/>
      <c r="I104" s="309"/>
      <c r="J104" s="309"/>
    </row>
    <row r="105" spans="1:13" s="167" customFormat="1">
      <c r="D105" s="309"/>
      <c r="E105" s="309"/>
      <c r="F105" s="309"/>
      <c r="G105" s="309"/>
      <c r="H105" s="309"/>
      <c r="I105" s="309"/>
      <c r="J105" s="309"/>
    </row>
    <row r="106" spans="1:13" s="167" customFormat="1">
      <c r="D106" s="309"/>
      <c r="E106" s="309"/>
      <c r="F106" s="309"/>
      <c r="G106" s="309"/>
      <c r="H106" s="309"/>
      <c r="I106" s="309"/>
      <c r="J106" s="309"/>
    </row>
    <row r="107" spans="1:13" s="167" customFormat="1">
      <c r="D107" s="309"/>
      <c r="E107" s="309"/>
      <c r="F107" s="309"/>
      <c r="G107" s="309"/>
      <c r="H107" s="309"/>
      <c r="I107" s="309"/>
      <c r="J107" s="309"/>
    </row>
    <row r="108" spans="1:13" s="167" customFormat="1">
      <c r="D108" s="309"/>
      <c r="E108" s="309"/>
      <c r="F108" s="309"/>
      <c r="G108" s="309"/>
      <c r="H108" s="309"/>
      <c r="I108" s="309"/>
      <c r="J108" s="309"/>
    </row>
    <row r="109" spans="1:13" s="167" customFormat="1">
      <c r="D109" s="309"/>
      <c r="E109" s="309"/>
      <c r="F109" s="309"/>
      <c r="G109" s="309"/>
      <c r="H109" s="309"/>
      <c r="I109" s="309"/>
      <c r="J109" s="309"/>
    </row>
    <row r="110" spans="1:13" s="167" customFormat="1">
      <c r="D110" s="309"/>
      <c r="E110" s="309"/>
      <c r="F110" s="309"/>
      <c r="G110" s="309"/>
      <c r="H110" s="309"/>
      <c r="I110" s="309"/>
      <c r="J110" s="309"/>
    </row>
    <row r="111" spans="1:13" s="167" customFormat="1">
      <c r="D111" s="309"/>
      <c r="E111" s="309"/>
      <c r="F111" s="309"/>
      <c r="G111" s="309"/>
      <c r="H111" s="309"/>
      <c r="I111" s="309"/>
      <c r="J111" s="309"/>
    </row>
    <row r="112" spans="1:13" s="167" customFormat="1">
      <c r="D112" s="309"/>
      <c r="E112" s="309"/>
      <c r="F112" s="309"/>
      <c r="G112" s="309"/>
      <c r="H112" s="309"/>
      <c r="I112" s="309"/>
      <c r="J112" s="309"/>
    </row>
    <row r="113" spans="4:10" s="167" customFormat="1">
      <c r="D113" s="309"/>
      <c r="E113" s="309"/>
      <c r="F113" s="309"/>
      <c r="G113" s="309"/>
      <c r="H113" s="309"/>
      <c r="I113" s="309"/>
      <c r="J113" s="309"/>
    </row>
    <row r="114" spans="4:10" s="167" customFormat="1">
      <c r="D114" s="309"/>
      <c r="E114" s="309"/>
      <c r="F114" s="309"/>
      <c r="G114" s="309"/>
      <c r="H114" s="309"/>
      <c r="I114" s="309"/>
      <c r="J114" s="309"/>
    </row>
    <row r="115" spans="4:10" s="167" customFormat="1">
      <c r="D115" s="309"/>
      <c r="E115" s="309"/>
      <c r="F115" s="309"/>
      <c r="G115" s="309"/>
      <c r="H115" s="309"/>
      <c r="I115" s="309"/>
      <c r="J115" s="309"/>
    </row>
    <row r="116" spans="4:10" s="167" customFormat="1">
      <c r="D116" s="309"/>
      <c r="E116" s="309"/>
      <c r="F116" s="309"/>
      <c r="G116" s="309"/>
      <c r="H116" s="309"/>
      <c r="I116" s="309"/>
      <c r="J116" s="309"/>
    </row>
    <row r="117" spans="4:10" s="167" customFormat="1">
      <c r="D117" s="309"/>
      <c r="E117" s="309"/>
      <c r="F117" s="309"/>
      <c r="G117" s="309"/>
      <c r="H117" s="309"/>
      <c r="I117" s="309"/>
      <c r="J117" s="309"/>
    </row>
    <row r="118" spans="4:10" s="167" customFormat="1">
      <c r="D118" s="309"/>
      <c r="E118" s="309"/>
      <c r="F118" s="309"/>
      <c r="G118" s="309"/>
      <c r="H118" s="309"/>
      <c r="I118" s="309"/>
      <c r="J118" s="309"/>
    </row>
    <row r="119" spans="4:10" s="167" customFormat="1">
      <c r="D119" s="309"/>
      <c r="E119" s="309"/>
      <c r="F119" s="309"/>
      <c r="G119" s="309"/>
      <c r="H119" s="309"/>
      <c r="I119" s="309"/>
      <c r="J119" s="309"/>
    </row>
    <row r="120" spans="4:10" s="167" customFormat="1">
      <c r="D120" s="309"/>
      <c r="E120" s="309"/>
      <c r="F120" s="309"/>
      <c r="G120" s="309"/>
      <c r="H120" s="309"/>
      <c r="I120" s="309"/>
      <c r="J120" s="309"/>
    </row>
    <row r="121" spans="4:10" s="167" customFormat="1">
      <c r="D121" s="309"/>
      <c r="E121" s="309"/>
      <c r="F121" s="309"/>
      <c r="G121" s="309"/>
      <c r="H121" s="309"/>
      <c r="I121" s="309"/>
      <c r="J121" s="309"/>
    </row>
    <row r="122" spans="4:10" s="167" customFormat="1">
      <c r="D122" s="309"/>
      <c r="E122" s="309"/>
      <c r="F122" s="309"/>
      <c r="G122" s="309"/>
      <c r="H122" s="309"/>
      <c r="I122" s="309"/>
      <c r="J122" s="309"/>
    </row>
    <row r="123" spans="4:10" s="167" customFormat="1">
      <c r="D123" s="309"/>
      <c r="E123" s="309"/>
      <c r="F123" s="309"/>
      <c r="G123" s="309"/>
      <c r="H123" s="309"/>
      <c r="I123" s="309"/>
      <c r="J123" s="309"/>
    </row>
    <row r="124" spans="4:10" s="167" customFormat="1">
      <c r="D124" s="309"/>
      <c r="E124" s="309"/>
      <c r="F124" s="309"/>
      <c r="G124" s="309"/>
      <c r="H124" s="309"/>
      <c r="I124" s="309"/>
      <c r="J124" s="309"/>
    </row>
    <row r="125" spans="4:10" s="167" customFormat="1">
      <c r="D125" s="309"/>
      <c r="E125" s="309"/>
      <c r="F125" s="309"/>
      <c r="G125" s="309"/>
      <c r="H125" s="309"/>
      <c r="I125" s="309"/>
      <c r="J125" s="309"/>
    </row>
    <row r="126" spans="4:10" s="167" customFormat="1">
      <c r="D126" s="309"/>
      <c r="E126" s="309"/>
      <c r="F126" s="309"/>
      <c r="G126" s="309"/>
      <c r="H126" s="309"/>
      <c r="I126" s="309"/>
      <c r="J126" s="309"/>
    </row>
    <row r="127" spans="4:10" s="167" customFormat="1">
      <c r="D127" s="309"/>
      <c r="E127" s="309"/>
      <c r="F127" s="309"/>
      <c r="G127" s="309"/>
      <c r="H127" s="309"/>
      <c r="I127" s="309"/>
      <c r="J127" s="309"/>
    </row>
    <row r="128" spans="4:10" s="167" customFormat="1">
      <c r="D128" s="309"/>
      <c r="E128" s="309"/>
      <c r="F128" s="309"/>
      <c r="G128" s="309"/>
      <c r="H128" s="309"/>
      <c r="I128" s="309"/>
      <c r="J128" s="309"/>
    </row>
    <row r="129" spans="4:10" s="167" customFormat="1">
      <c r="D129" s="309"/>
      <c r="E129" s="309"/>
      <c r="F129" s="309"/>
      <c r="G129" s="309"/>
      <c r="H129" s="309"/>
      <c r="I129" s="309"/>
      <c r="J129" s="309"/>
    </row>
    <row r="130" spans="4:10" s="167" customFormat="1">
      <c r="D130" s="309"/>
      <c r="E130" s="309"/>
      <c r="F130" s="309"/>
      <c r="G130" s="309"/>
      <c r="H130" s="309"/>
      <c r="I130" s="309"/>
      <c r="J130" s="309"/>
    </row>
    <row r="131" spans="4:10" s="167" customFormat="1">
      <c r="D131" s="309"/>
      <c r="E131" s="309"/>
      <c r="F131" s="309"/>
      <c r="G131" s="309"/>
      <c r="H131" s="309"/>
      <c r="I131" s="309"/>
      <c r="J131" s="309"/>
    </row>
    <row r="132" spans="4:10" s="167" customFormat="1">
      <c r="D132" s="309"/>
      <c r="E132" s="309"/>
      <c r="F132" s="309"/>
      <c r="G132" s="309"/>
      <c r="H132" s="309"/>
      <c r="I132" s="309"/>
      <c r="J132" s="309"/>
    </row>
    <row r="133" spans="4:10" s="167" customFormat="1">
      <c r="D133" s="309"/>
      <c r="E133" s="309"/>
      <c r="F133" s="309"/>
      <c r="G133" s="309"/>
      <c r="H133" s="309"/>
      <c r="I133" s="309"/>
      <c r="J133" s="309"/>
    </row>
    <row r="134" spans="4:10" s="167" customFormat="1">
      <c r="D134" s="309"/>
      <c r="E134" s="309"/>
      <c r="F134" s="309"/>
      <c r="G134" s="309"/>
      <c r="H134" s="309"/>
      <c r="I134" s="309"/>
      <c r="J134" s="309"/>
    </row>
    <row r="135" spans="4:10" s="167" customFormat="1">
      <c r="D135" s="309"/>
      <c r="E135" s="309"/>
      <c r="F135" s="309"/>
      <c r="G135" s="309"/>
      <c r="H135" s="309"/>
      <c r="I135" s="309"/>
      <c r="J135" s="309"/>
    </row>
    <row r="136" spans="4:10" s="167" customFormat="1">
      <c r="D136" s="309"/>
      <c r="E136" s="309"/>
      <c r="F136" s="309"/>
      <c r="G136" s="309"/>
      <c r="H136" s="309"/>
      <c r="I136" s="309"/>
      <c r="J136" s="309"/>
    </row>
    <row r="137" spans="4:10" s="167" customFormat="1">
      <c r="D137" s="309"/>
      <c r="E137" s="309"/>
      <c r="F137" s="309"/>
      <c r="G137" s="309"/>
      <c r="H137" s="309"/>
      <c r="I137" s="309"/>
      <c r="J137" s="309"/>
    </row>
    <row r="138" spans="4:10" s="167" customFormat="1">
      <c r="D138" s="309"/>
      <c r="E138" s="309"/>
      <c r="F138" s="309"/>
      <c r="G138" s="309"/>
      <c r="H138" s="309"/>
      <c r="I138" s="309"/>
      <c r="J138" s="309"/>
    </row>
    <row r="139" spans="4:10" s="167" customFormat="1">
      <c r="D139" s="309"/>
      <c r="E139" s="309"/>
      <c r="F139" s="309"/>
      <c r="G139" s="309"/>
      <c r="H139" s="309"/>
      <c r="I139" s="309"/>
      <c r="J139" s="309"/>
    </row>
    <row r="140" spans="4:10" s="167" customFormat="1">
      <c r="D140" s="309"/>
      <c r="E140" s="309"/>
      <c r="F140" s="309"/>
      <c r="G140" s="309"/>
      <c r="H140" s="309"/>
      <c r="I140" s="309"/>
      <c r="J140" s="309"/>
    </row>
    <row r="141" spans="4:10" s="167" customFormat="1">
      <c r="D141" s="309"/>
      <c r="E141" s="309"/>
      <c r="F141" s="309"/>
      <c r="G141" s="309"/>
      <c r="H141" s="309"/>
      <c r="I141" s="309"/>
      <c r="J141" s="309"/>
    </row>
    <row r="142" spans="4:10" s="167" customFormat="1">
      <c r="D142" s="309"/>
      <c r="E142" s="309"/>
      <c r="F142" s="309"/>
      <c r="G142" s="309"/>
      <c r="H142" s="309"/>
      <c r="I142" s="309"/>
      <c r="J142" s="309"/>
    </row>
    <row r="143" spans="4:10" s="167" customFormat="1">
      <c r="D143" s="309"/>
      <c r="E143" s="309"/>
      <c r="F143" s="309"/>
      <c r="G143" s="309"/>
      <c r="H143" s="309"/>
      <c r="I143" s="309"/>
      <c r="J143" s="309"/>
    </row>
    <row r="144" spans="4:10" s="167" customFormat="1">
      <c r="D144" s="309"/>
      <c r="E144" s="309"/>
      <c r="F144" s="309"/>
      <c r="G144" s="309"/>
      <c r="H144" s="309"/>
      <c r="I144" s="309"/>
      <c r="J144" s="309"/>
    </row>
    <row r="145" spans="4:10" s="167" customFormat="1">
      <c r="D145" s="309"/>
      <c r="E145" s="309"/>
      <c r="F145" s="309"/>
      <c r="G145" s="309"/>
      <c r="H145" s="309"/>
      <c r="I145" s="309"/>
      <c r="J145" s="309"/>
    </row>
    <row r="146" spans="4:10" s="167" customFormat="1">
      <c r="D146" s="309"/>
      <c r="E146" s="309"/>
      <c r="F146" s="309"/>
      <c r="G146" s="309"/>
      <c r="H146" s="309"/>
      <c r="I146" s="309"/>
      <c r="J146" s="309"/>
    </row>
    <row r="147" spans="4:10" s="167" customFormat="1">
      <c r="D147" s="309"/>
      <c r="E147" s="309"/>
      <c r="F147" s="309"/>
      <c r="G147" s="309"/>
      <c r="H147" s="309"/>
      <c r="I147" s="309"/>
      <c r="J147" s="309"/>
    </row>
    <row r="148" spans="4:10" s="167" customFormat="1">
      <c r="D148" s="309"/>
      <c r="E148" s="309"/>
      <c r="F148" s="309"/>
      <c r="G148" s="309"/>
      <c r="H148" s="309"/>
      <c r="I148" s="309"/>
      <c r="J148" s="309"/>
    </row>
    <row r="149" spans="4:10" s="167" customFormat="1">
      <c r="D149" s="309"/>
      <c r="E149" s="309"/>
      <c r="F149" s="309"/>
      <c r="G149" s="309"/>
      <c r="H149" s="309"/>
      <c r="I149" s="309"/>
      <c r="J149" s="309"/>
    </row>
    <row r="150" spans="4:10" s="167" customFormat="1">
      <c r="D150" s="309"/>
      <c r="E150" s="309"/>
      <c r="F150" s="309"/>
      <c r="G150" s="309"/>
      <c r="H150" s="309"/>
      <c r="I150" s="309"/>
      <c r="J150" s="309"/>
    </row>
    <row r="151" spans="4:10" s="167" customFormat="1">
      <c r="D151" s="309"/>
      <c r="E151" s="309"/>
      <c r="F151" s="309"/>
      <c r="G151" s="309"/>
      <c r="H151" s="309"/>
      <c r="I151" s="309"/>
      <c r="J151" s="309"/>
    </row>
    <row r="152" spans="4:10" s="167" customFormat="1">
      <c r="D152" s="309"/>
      <c r="E152" s="309"/>
      <c r="F152" s="309"/>
      <c r="G152" s="309"/>
      <c r="H152" s="309"/>
      <c r="I152" s="309"/>
      <c r="J152" s="309"/>
    </row>
    <row r="153" spans="4:10" s="167" customFormat="1">
      <c r="D153" s="309"/>
      <c r="E153" s="309"/>
      <c r="F153" s="309"/>
      <c r="G153" s="309"/>
      <c r="H153" s="309"/>
      <c r="I153" s="309"/>
      <c r="J153" s="309"/>
    </row>
    <row r="154" spans="4:10" s="167" customFormat="1">
      <c r="D154" s="309"/>
      <c r="E154" s="309"/>
      <c r="F154" s="309"/>
      <c r="G154" s="309"/>
      <c r="H154" s="309"/>
      <c r="I154" s="309"/>
      <c r="J154" s="309"/>
    </row>
    <row r="155" spans="4:10" s="167" customFormat="1">
      <c r="D155" s="309"/>
      <c r="E155" s="309"/>
      <c r="F155" s="309"/>
      <c r="G155" s="309"/>
      <c r="H155" s="309"/>
      <c r="I155" s="309"/>
      <c r="J155" s="309"/>
    </row>
  </sheetData>
  <sheetProtection algorithmName="SHA-512" hashValue="Iky7jv9S04PVIWU0xmwBZffEwpxVJxXpGT/dvf1bjupDD8tpZkT6GEBsi/E3CsXAzR9EIBqDM0E909z8812wQw==" saltValue="8P+YpLkBzQh/Y/bYMmmdCQ==" spinCount="100000" sheet="1" objects="1" scenarios="1" autoFilter="0"/>
  <mergeCells count="25">
    <mergeCell ref="A100:L100"/>
    <mergeCell ref="A93:L93"/>
    <mergeCell ref="A94:L94"/>
    <mergeCell ref="A95:L95"/>
    <mergeCell ref="A96:L96"/>
    <mergeCell ref="A97:L97"/>
    <mergeCell ref="A98:L98"/>
    <mergeCell ref="A87:A89"/>
    <mergeCell ref="A16:L16"/>
    <mergeCell ref="A17:L17"/>
    <mergeCell ref="A18:L18"/>
    <mergeCell ref="A19:L19"/>
    <mergeCell ref="B21:M21"/>
    <mergeCell ref="A24:A36"/>
    <mergeCell ref="A41:A43"/>
    <mergeCell ref="A48:A52"/>
    <mergeCell ref="A57:A61"/>
    <mergeCell ref="A66:A69"/>
    <mergeCell ref="A74:A82"/>
    <mergeCell ref="A13:L13"/>
    <mergeCell ref="A8:L8"/>
    <mergeCell ref="A9:L9"/>
    <mergeCell ref="A10:L10"/>
    <mergeCell ref="A11:L11"/>
    <mergeCell ref="A12:L12"/>
  </mergeCells>
  <conditionalFormatting sqref="D24:J36">
    <cfRule type="expression" dxfId="6" priority="1" stopIfTrue="1">
      <formula>D24=""</formula>
    </cfRule>
  </conditionalFormatting>
  <conditionalFormatting sqref="D41:J43">
    <cfRule type="expression" dxfId="5" priority="2" stopIfTrue="1">
      <formula>D41=""</formula>
    </cfRule>
  </conditionalFormatting>
  <conditionalFormatting sqref="D48:J52">
    <cfRule type="expression" dxfId="4" priority="3" stopIfTrue="1">
      <formula>D48=""</formula>
    </cfRule>
  </conditionalFormatting>
  <conditionalFormatting sqref="D57:J61">
    <cfRule type="expression" dxfId="3" priority="4" stopIfTrue="1">
      <formula>D57=""</formula>
    </cfRule>
  </conditionalFormatting>
  <conditionalFormatting sqref="D66:J69">
    <cfRule type="expression" dxfId="2" priority="5" stopIfTrue="1">
      <formula>D66=""</formula>
    </cfRule>
  </conditionalFormatting>
  <conditionalFormatting sqref="D74:J82">
    <cfRule type="expression" dxfId="1" priority="6" stopIfTrue="1">
      <formula>D74=""</formula>
    </cfRule>
  </conditionalFormatting>
  <conditionalFormatting sqref="D87:J89">
    <cfRule type="expression" dxfId="0" priority="7" stopIfTrue="1">
      <formula>D87=""</formula>
    </cfRule>
  </conditionalFormatting>
  <hyperlinks>
    <hyperlink ref="A3" location="Index!A1" display="Index" xr:uid="{00000000-0004-0000-2C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2C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2C00-000002000000}"/>
    <hyperlink ref="A14" r:id="rId3" xr:uid="{00000000-0004-0000-2C00-000003000000}"/>
    <hyperlink ref="A94:L94" location="'Material use'!A1" display="No, these factors are not appropriate, for specific procurement factors please see the ‘material use’ listing." xr:uid="{00000000-0004-0000-2C00-000004000000}"/>
  </hyperlinks>
  <pageMargins left="0.7" right="0.7" top="0.75" bottom="0.75" header="0.3" footer="0.3"/>
  <pageSetup paperSize="9" scale="20" fitToHeight="0" orientation="landscape" r:id="rId4"/>
  <headerFooter alignWithMargins="0"/>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K57"/>
  <sheetViews>
    <sheetView workbookViewId="0">
      <selection sqref="A1:K1"/>
    </sheetView>
  </sheetViews>
  <sheetFormatPr baseColWidth="10" defaultColWidth="9.109375" defaultRowHeight="14.4"/>
  <cols>
    <col min="1" max="1" width="22.6640625" style="78" customWidth="1"/>
    <col min="2" max="2" width="28.33203125" customWidth="1"/>
    <col min="3" max="5" width="11.88671875" bestFit="1" customWidth="1"/>
  </cols>
  <sheetData>
    <row r="1" spans="1:11" ht="49.5" customHeight="1">
      <c r="A1" s="520" t="s">
        <v>421</v>
      </c>
      <c r="B1" s="520"/>
      <c r="C1" s="520"/>
      <c r="D1" s="520"/>
      <c r="E1" s="520"/>
      <c r="F1" s="520"/>
      <c r="G1" s="520"/>
      <c r="H1" s="520"/>
      <c r="I1" s="520"/>
      <c r="J1" s="520"/>
      <c r="K1" s="520"/>
    </row>
    <row r="2" spans="1:11">
      <c r="A2" s="521" t="s">
        <v>422</v>
      </c>
      <c r="B2" s="521"/>
      <c r="C2" s="521" t="s">
        <v>377</v>
      </c>
      <c r="D2" s="521"/>
      <c r="E2" s="521"/>
      <c r="F2" s="521"/>
      <c r="G2" s="521"/>
      <c r="H2" s="521"/>
      <c r="I2" s="521"/>
      <c r="J2" s="521"/>
      <c r="K2" s="521"/>
    </row>
    <row r="3" spans="1:11">
      <c r="A3" s="521"/>
      <c r="B3" s="521"/>
      <c r="C3" s="92" t="s">
        <v>423</v>
      </c>
      <c r="D3" s="79" t="s">
        <v>424</v>
      </c>
      <c r="E3" s="79" t="s">
        <v>425</v>
      </c>
      <c r="F3" s="93" t="s">
        <v>423</v>
      </c>
      <c r="G3" s="79" t="s">
        <v>424</v>
      </c>
      <c r="H3" s="79" t="s">
        <v>425</v>
      </c>
      <c r="I3" s="92" t="s">
        <v>423</v>
      </c>
      <c r="J3" s="79" t="s">
        <v>424</v>
      </c>
      <c r="K3" s="79" t="s">
        <v>425</v>
      </c>
    </row>
    <row r="4" spans="1:11">
      <c r="A4" s="522" t="s">
        <v>426</v>
      </c>
      <c r="B4" s="522"/>
      <c r="C4" s="89">
        <v>73300</v>
      </c>
      <c r="D4" s="87">
        <v>71000</v>
      </c>
      <c r="E4" s="87">
        <v>75500</v>
      </c>
      <c r="F4" s="92">
        <v>3</v>
      </c>
      <c r="G4" s="79">
        <v>1</v>
      </c>
      <c r="H4" s="79">
        <v>10</v>
      </c>
      <c r="I4" s="92">
        <v>0.6</v>
      </c>
      <c r="J4" s="79">
        <v>0.2</v>
      </c>
      <c r="K4" s="79">
        <v>2</v>
      </c>
    </row>
    <row r="5" spans="1:11">
      <c r="A5" s="522" t="s">
        <v>427</v>
      </c>
      <c r="B5" s="522"/>
      <c r="C5" s="89">
        <v>77000</v>
      </c>
      <c r="D5" s="87">
        <v>69300</v>
      </c>
      <c r="E5" s="87">
        <v>85400</v>
      </c>
      <c r="F5" s="92">
        <v>3</v>
      </c>
      <c r="G5" s="79">
        <v>1</v>
      </c>
      <c r="H5" s="79">
        <v>10</v>
      </c>
      <c r="I5" s="92">
        <v>0.6</v>
      </c>
      <c r="J5" s="79">
        <v>0.2</v>
      </c>
      <c r="K5" s="79">
        <v>2</v>
      </c>
    </row>
    <row r="6" spans="1:11">
      <c r="A6" s="522" t="s">
        <v>428</v>
      </c>
      <c r="B6" s="522"/>
      <c r="C6" s="89">
        <v>64200</v>
      </c>
      <c r="D6" s="87">
        <v>58300</v>
      </c>
      <c r="E6" s="87">
        <v>70400</v>
      </c>
      <c r="F6" s="92">
        <v>3</v>
      </c>
      <c r="G6" s="79">
        <v>1</v>
      </c>
      <c r="H6" s="79">
        <v>10</v>
      </c>
      <c r="I6" s="92">
        <v>0.6</v>
      </c>
      <c r="J6" s="79">
        <v>0.2</v>
      </c>
      <c r="K6" s="79">
        <v>2</v>
      </c>
    </row>
    <row r="7" spans="1:11">
      <c r="A7" s="523" t="s">
        <v>110</v>
      </c>
      <c r="B7" s="79" t="s">
        <v>396</v>
      </c>
      <c r="C7" s="89">
        <v>69300</v>
      </c>
      <c r="D7" s="87">
        <v>67500</v>
      </c>
      <c r="E7" s="87">
        <v>73000</v>
      </c>
      <c r="F7" s="92">
        <v>3</v>
      </c>
      <c r="G7" s="79">
        <v>1</v>
      </c>
      <c r="H7" s="79">
        <v>10</v>
      </c>
      <c r="I7" s="92">
        <v>0.6</v>
      </c>
      <c r="J7" s="79">
        <v>0.2</v>
      </c>
      <c r="K7" s="79">
        <v>2</v>
      </c>
    </row>
    <row r="8" spans="1:11">
      <c r="A8" s="523"/>
      <c r="B8" s="79" t="s">
        <v>429</v>
      </c>
      <c r="C8" s="89">
        <v>70000</v>
      </c>
      <c r="D8" s="87">
        <v>67500</v>
      </c>
      <c r="E8" s="87">
        <v>73000</v>
      </c>
      <c r="F8" s="92">
        <v>3</v>
      </c>
      <c r="G8" s="79">
        <v>1</v>
      </c>
      <c r="H8" s="79">
        <v>10</v>
      </c>
      <c r="I8" s="92">
        <v>0.6</v>
      </c>
      <c r="J8" s="79">
        <v>0.2</v>
      </c>
      <c r="K8" s="79">
        <v>2</v>
      </c>
    </row>
    <row r="9" spans="1:11">
      <c r="A9" s="523"/>
      <c r="B9" s="79" t="s">
        <v>430</v>
      </c>
      <c r="C9" s="89">
        <v>70000</v>
      </c>
      <c r="D9" s="87">
        <v>67500</v>
      </c>
      <c r="E9" s="87">
        <v>73000</v>
      </c>
      <c r="F9" s="92">
        <v>3</v>
      </c>
      <c r="G9" s="79">
        <v>1</v>
      </c>
      <c r="H9" s="79">
        <v>10</v>
      </c>
      <c r="I9" s="92">
        <v>0.6</v>
      </c>
      <c r="J9" s="79">
        <v>0.2</v>
      </c>
      <c r="K9" s="79">
        <v>2</v>
      </c>
    </row>
    <row r="10" spans="1:11">
      <c r="A10" s="522" t="s">
        <v>431</v>
      </c>
      <c r="B10" s="522"/>
      <c r="C10" s="89">
        <v>71500</v>
      </c>
      <c r="D10" s="87">
        <v>69700</v>
      </c>
      <c r="E10" s="87">
        <v>74400</v>
      </c>
      <c r="F10" s="92">
        <v>3</v>
      </c>
      <c r="G10" s="79">
        <v>1</v>
      </c>
      <c r="H10" s="79">
        <v>10</v>
      </c>
      <c r="I10" s="92">
        <v>0.6</v>
      </c>
      <c r="J10" s="79">
        <v>0.2</v>
      </c>
      <c r="K10" s="79">
        <v>2</v>
      </c>
    </row>
    <row r="11" spans="1:11">
      <c r="A11" s="522" t="s">
        <v>410</v>
      </c>
      <c r="B11" s="522"/>
      <c r="C11" s="89">
        <v>71900</v>
      </c>
      <c r="D11" s="87">
        <v>70800</v>
      </c>
      <c r="E11" s="87">
        <v>73700</v>
      </c>
      <c r="F11" s="92">
        <v>3</v>
      </c>
      <c r="G11" s="79">
        <v>1</v>
      </c>
      <c r="H11" s="79">
        <v>10</v>
      </c>
      <c r="I11" s="92">
        <v>0.6</v>
      </c>
      <c r="J11" s="79">
        <v>0.2</v>
      </c>
      <c r="K11" s="79">
        <v>2</v>
      </c>
    </row>
    <row r="12" spans="1:11">
      <c r="A12" s="522" t="s">
        <v>432</v>
      </c>
      <c r="B12" s="522"/>
      <c r="C12" s="89">
        <v>73300</v>
      </c>
      <c r="D12" s="87">
        <v>67800</v>
      </c>
      <c r="E12" s="87">
        <v>79200</v>
      </c>
      <c r="F12" s="92">
        <v>3</v>
      </c>
      <c r="G12" s="79">
        <v>1</v>
      </c>
      <c r="H12" s="79">
        <v>10</v>
      </c>
      <c r="I12" s="92">
        <v>0.6</v>
      </c>
      <c r="J12" s="79">
        <v>0.2</v>
      </c>
      <c r="K12" s="79">
        <v>2</v>
      </c>
    </row>
    <row r="13" spans="1:11">
      <c r="A13" s="522" t="s">
        <v>416</v>
      </c>
      <c r="B13" s="522"/>
      <c r="C13" s="89">
        <v>74100</v>
      </c>
      <c r="D13" s="87">
        <v>72600</v>
      </c>
      <c r="E13" s="87">
        <v>74800</v>
      </c>
      <c r="F13" s="92">
        <v>3</v>
      </c>
      <c r="G13" s="79">
        <v>1</v>
      </c>
      <c r="H13" s="79">
        <v>10</v>
      </c>
      <c r="I13" s="92">
        <v>0.6</v>
      </c>
      <c r="J13" s="79">
        <v>0.2</v>
      </c>
      <c r="K13" s="79">
        <v>2</v>
      </c>
    </row>
    <row r="14" spans="1:11">
      <c r="A14" s="522" t="s">
        <v>418</v>
      </c>
      <c r="B14" s="522"/>
      <c r="C14" s="89">
        <v>77400</v>
      </c>
      <c r="D14" s="87">
        <v>75500</v>
      </c>
      <c r="E14" s="87">
        <v>78800</v>
      </c>
      <c r="F14" s="92">
        <v>3</v>
      </c>
      <c r="G14" s="79">
        <v>1</v>
      </c>
      <c r="H14" s="79">
        <v>10</v>
      </c>
      <c r="I14" s="92">
        <v>0.6</v>
      </c>
      <c r="J14" s="79">
        <v>0.2</v>
      </c>
      <c r="K14" s="79">
        <v>2</v>
      </c>
    </row>
    <row r="15" spans="1:11">
      <c r="A15" s="522" t="s">
        <v>433</v>
      </c>
      <c r="B15" s="522"/>
      <c r="C15" s="89">
        <v>63100</v>
      </c>
      <c r="D15" s="87">
        <v>61600</v>
      </c>
      <c r="E15" s="87">
        <v>65600</v>
      </c>
      <c r="F15" s="92">
        <v>1</v>
      </c>
      <c r="G15" s="79">
        <v>0.3</v>
      </c>
      <c r="H15" s="79">
        <v>3</v>
      </c>
      <c r="I15" s="92">
        <v>0.1</v>
      </c>
      <c r="J15" s="79">
        <v>0.03</v>
      </c>
      <c r="K15" s="79">
        <v>0.3</v>
      </c>
    </row>
    <row r="16" spans="1:11">
      <c r="A16" s="522" t="s">
        <v>434</v>
      </c>
      <c r="B16" s="522"/>
      <c r="C16" s="89">
        <v>61600</v>
      </c>
      <c r="D16" s="87">
        <v>56500</v>
      </c>
      <c r="E16" s="87">
        <v>68600</v>
      </c>
      <c r="F16" s="92">
        <v>1</v>
      </c>
      <c r="G16" s="79">
        <v>0.3</v>
      </c>
      <c r="H16" s="79">
        <v>3</v>
      </c>
      <c r="I16" s="92">
        <v>0.1</v>
      </c>
      <c r="J16" s="79">
        <v>0.03</v>
      </c>
      <c r="K16" s="79">
        <v>0.3</v>
      </c>
    </row>
    <row r="17" spans="1:11">
      <c r="A17" s="522" t="s">
        <v>101</v>
      </c>
      <c r="B17" s="522"/>
      <c r="C17" s="89">
        <v>73300</v>
      </c>
      <c r="D17" s="87">
        <v>69300</v>
      </c>
      <c r="E17" s="87">
        <v>76300</v>
      </c>
      <c r="F17" s="92">
        <v>3</v>
      </c>
      <c r="G17" s="79">
        <v>1</v>
      </c>
      <c r="H17" s="79">
        <v>10</v>
      </c>
      <c r="I17" s="92">
        <v>0.6</v>
      </c>
      <c r="J17" s="79">
        <v>0.2</v>
      </c>
      <c r="K17" s="79">
        <v>2</v>
      </c>
    </row>
    <row r="18" spans="1:11">
      <c r="A18" s="522" t="s">
        <v>435</v>
      </c>
      <c r="B18" s="522"/>
      <c r="C18" s="89">
        <v>80700</v>
      </c>
      <c r="D18" s="87">
        <v>73000</v>
      </c>
      <c r="E18" s="87">
        <v>89900</v>
      </c>
      <c r="F18" s="92">
        <v>3</v>
      </c>
      <c r="G18" s="79">
        <v>1</v>
      </c>
      <c r="H18" s="79">
        <v>10</v>
      </c>
      <c r="I18" s="92">
        <v>0.6</v>
      </c>
      <c r="J18" s="79">
        <v>0.2</v>
      </c>
      <c r="K18" s="79">
        <v>2</v>
      </c>
    </row>
    <row r="19" spans="1:11">
      <c r="A19" s="522" t="s">
        <v>238</v>
      </c>
      <c r="B19" s="522"/>
      <c r="C19" s="89">
        <v>73300</v>
      </c>
      <c r="D19" s="87">
        <v>71900</v>
      </c>
      <c r="E19" s="87">
        <v>75200</v>
      </c>
      <c r="F19" s="92">
        <v>3</v>
      </c>
      <c r="G19" s="79">
        <v>1</v>
      </c>
      <c r="H19" s="79">
        <v>10</v>
      </c>
      <c r="I19" s="92">
        <v>0.6</v>
      </c>
      <c r="J19" s="79">
        <v>0.2</v>
      </c>
      <c r="K19" s="79">
        <v>2</v>
      </c>
    </row>
    <row r="20" spans="1:11">
      <c r="A20" s="522" t="s">
        <v>413</v>
      </c>
      <c r="B20" s="522"/>
      <c r="C20" s="89">
        <v>97500</v>
      </c>
      <c r="D20" s="87">
        <v>82900</v>
      </c>
      <c r="E20" s="87">
        <v>115000</v>
      </c>
      <c r="F20" s="92">
        <v>3</v>
      </c>
      <c r="G20" s="79">
        <v>1</v>
      </c>
      <c r="H20" s="79">
        <v>10</v>
      </c>
      <c r="I20" s="92">
        <v>0.6</v>
      </c>
      <c r="J20" s="79">
        <v>0.2</v>
      </c>
      <c r="K20" s="79">
        <v>2</v>
      </c>
    </row>
    <row r="21" spans="1:11">
      <c r="A21" s="522" t="s">
        <v>436</v>
      </c>
      <c r="B21" s="522"/>
      <c r="C21" s="89">
        <v>73300</v>
      </c>
      <c r="D21" s="87">
        <v>68900</v>
      </c>
      <c r="E21" s="87">
        <v>76600</v>
      </c>
      <c r="F21" s="92">
        <v>3</v>
      </c>
      <c r="G21" s="79">
        <v>1</v>
      </c>
      <c r="H21" s="79">
        <v>10</v>
      </c>
      <c r="I21" s="92">
        <v>0.6</v>
      </c>
      <c r="J21" s="79">
        <v>0.2</v>
      </c>
      <c r="K21" s="79">
        <v>2</v>
      </c>
    </row>
    <row r="22" spans="1:11">
      <c r="A22" s="523" t="s">
        <v>437</v>
      </c>
      <c r="B22" s="80" t="s">
        <v>113</v>
      </c>
      <c r="C22" s="89">
        <v>57600</v>
      </c>
      <c r="D22" s="87">
        <v>48200</v>
      </c>
      <c r="E22" s="87">
        <v>69000</v>
      </c>
      <c r="F22" s="92">
        <v>1</v>
      </c>
      <c r="G22" s="79">
        <v>0.3</v>
      </c>
      <c r="H22" s="79">
        <v>3</v>
      </c>
      <c r="I22" s="92">
        <v>0.1</v>
      </c>
      <c r="J22" s="79">
        <v>0.03</v>
      </c>
      <c r="K22" s="79">
        <v>0.3</v>
      </c>
    </row>
    <row r="23" spans="1:11">
      <c r="A23" s="523"/>
      <c r="B23" s="80" t="s">
        <v>438</v>
      </c>
      <c r="C23" s="89">
        <v>73300</v>
      </c>
      <c r="D23" s="87">
        <v>72200</v>
      </c>
      <c r="E23" s="87">
        <v>74400</v>
      </c>
      <c r="F23" s="92">
        <v>3</v>
      </c>
      <c r="G23" s="79">
        <v>1</v>
      </c>
      <c r="H23" s="79">
        <v>10</v>
      </c>
      <c r="I23" s="92">
        <v>0.6</v>
      </c>
      <c r="J23" s="79">
        <v>0.2</v>
      </c>
      <c r="K23" s="79">
        <v>2</v>
      </c>
    </row>
    <row r="24" spans="1:11">
      <c r="A24" s="523"/>
      <c r="B24" s="80" t="s">
        <v>439</v>
      </c>
      <c r="C24" s="89">
        <v>73300</v>
      </c>
      <c r="D24" s="87">
        <v>72200</v>
      </c>
      <c r="E24" s="87">
        <v>74400</v>
      </c>
      <c r="F24" s="92">
        <v>3</v>
      </c>
      <c r="G24" s="79">
        <v>1</v>
      </c>
      <c r="H24" s="79">
        <v>10</v>
      </c>
      <c r="I24" s="92">
        <v>0.6</v>
      </c>
      <c r="J24" s="79">
        <v>0.2</v>
      </c>
      <c r="K24" s="79">
        <v>2</v>
      </c>
    </row>
    <row r="25" spans="1:11">
      <c r="A25" s="523"/>
      <c r="B25" s="80" t="s">
        <v>440</v>
      </c>
      <c r="C25" s="89">
        <v>73300</v>
      </c>
      <c r="D25" s="87">
        <v>72200</v>
      </c>
      <c r="E25" s="87">
        <v>74400</v>
      </c>
      <c r="F25" s="92">
        <v>3</v>
      </c>
      <c r="G25" s="79">
        <v>1</v>
      </c>
      <c r="H25" s="79">
        <v>10</v>
      </c>
      <c r="I25" s="92">
        <v>0.6</v>
      </c>
      <c r="J25" s="79">
        <v>0.2</v>
      </c>
      <c r="K25" s="79">
        <v>2</v>
      </c>
    </row>
    <row r="26" spans="1:11">
      <c r="A26" s="522" t="s">
        <v>441</v>
      </c>
      <c r="B26" s="522"/>
      <c r="C26" s="89">
        <v>98300</v>
      </c>
      <c r="D26" s="87">
        <v>94600</v>
      </c>
      <c r="E26" s="87">
        <v>101000</v>
      </c>
      <c r="F26" s="92">
        <v>1</v>
      </c>
      <c r="G26" s="79">
        <v>0.3</v>
      </c>
      <c r="H26" s="79">
        <v>3</v>
      </c>
      <c r="I26" s="92">
        <v>1.5</v>
      </c>
      <c r="J26" s="79">
        <v>0.5</v>
      </c>
      <c r="K26" s="79">
        <v>5</v>
      </c>
    </row>
    <row r="27" spans="1:11">
      <c r="A27" s="522" t="s">
        <v>389</v>
      </c>
      <c r="B27" s="522"/>
      <c r="C27" s="89">
        <v>94600</v>
      </c>
      <c r="D27" s="87">
        <v>87300</v>
      </c>
      <c r="E27" s="87">
        <v>101000</v>
      </c>
      <c r="F27" s="92">
        <v>1</v>
      </c>
      <c r="G27" s="79">
        <v>0.3</v>
      </c>
      <c r="H27" s="79">
        <v>3</v>
      </c>
      <c r="I27" s="92">
        <v>1.5</v>
      </c>
      <c r="J27" s="79">
        <v>0.5</v>
      </c>
      <c r="K27" s="79">
        <v>5</v>
      </c>
    </row>
    <row r="28" spans="1:11">
      <c r="A28" s="522" t="s">
        <v>393</v>
      </c>
      <c r="B28" s="522"/>
      <c r="C28" s="89">
        <v>94600</v>
      </c>
      <c r="D28" s="87">
        <v>89500</v>
      </c>
      <c r="E28" s="87">
        <v>99700</v>
      </c>
      <c r="F28" s="92">
        <v>1</v>
      </c>
      <c r="G28" s="79">
        <v>0.3</v>
      </c>
      <c r="H28" s="79">
        <v>3</v>
      </c>
      <c r="I28" s="92">
        <v>1.5</v>
      </c>
      <c r="J28" s="79">
        <v>0.5</v>
      </c>
      <c r="K28" s="79">
        <v>5</v>
      </c>
    </row>
    <row r="29" spans="1:11">
      <c r="A29" s="522" t="s">
        <v>442</v>
      </c>
      <c r="B29" s="522"/>
      <c r="C29" s="89">
        <v>96100</v>
      </c>
      <c r="D29" s="87">
        <v>92800</v>
      </c>
      <c r="E29" s="87">
        <v>100000</v>
      </c>
      <c r="F29" s="92">
        <v>1</v>
      </c>
      <c r="G29" s="79">
        <v>0.3</v>
      </c>
      <c r="H29" s="79">
        <v>3</v>
      </c>
      <c r="I29" s="92">
        <v>1.5</v>
      </c>
      <c r="J29" s="79">
        <v>0.5</v>
      </c>
      <c r="K29" s="79">
        <v>5</v>
      </c>
    </row>
    <row r="30" spans="1:11">
      <c r="A30" s="522" t="s">
        <v>443</v>
      </c>
      <c r="B30" s="522"/>
      <c r="C30" s="89">
        <v>101000</v>
      </c>
      <c r="D30" s="87">
        <v>90900</v>
      </c>
      <c r="E30" s="87">
        <v>115000</v>
      </c>
      <c r="F30" s="92">
        <v>1</v>
      </c>
      <c r="G30" s="79">
        <v>0.3</v>
      </c>
      <c r="H30" s="79">
        <v>3</v>
      </c>
      <c r="I30" s="92">
        <v>1.5</v>
      </c>
      <c r="J30" s="79">
        <v>0.5</v>
      </c>
      <c r="K30" s="79">
        <v>5</v>
      </c>
    </row>
    <row r="31" spans="1:11">
      <c r="A31" s="522" t="s">
        <v>444</v>
      </c>
      <c r="B31" s="522"/>
      <c r="C31" s="89">
        <v>107000</v>
      </c>
      <c r="D31" s="87">
        <v>90200</v>
      </c>
      <c r="E31" s="87">
        <v>125000</v>
      </c>
      <c r="F31" s="92">
        <v>1</v>
      </c>
      <c r="G31" s="79">
        <v>0.3</v>
      </c>
      <c r="H31" s="79">
        <v>3</v>
      </c>
      <c r="I31" s="92">
        <v>1.5</v>
      </c>
      <c r="J31" s="79">
        <v>0.5</v>
      </c>
      <c r="K31" s="79">
        <v>5</v>
      </c>
    </row>
    <row r="32" spans="1:11">
      <c r="A32" s="522" t="s">
        <v>445</v>
      </c>
      <c r="B32" s="522"/>
      <c r="C32" s="89">
        <v>97500</v>
      </c>
      <c r="D32" s="87">
        <v>87300</v>
      </c>
      <c r="E32" s="87">
        <v>109000</v>
      </c>
      <c r="F32" s="92">
        <v>1</v>
      </c>
      <c r="G32" s="79">
        <v>0.3</v>
      </c>
      <c r="H32" s="79">
        <v>3</v>
      </c>
      <c r="I32" s="92">
        <v>1.5</v>
      </c>
      <c r="J32" s="79">
        <v>0.5</v>
      </c>
      <c r="K32" s="79">
        <v>5</v>
      </c>
    </row>
    <row r="33" spans="1:11">
      <c r="A33" s="522" t="s">
        <v>446</v>
      </c>
      <c r="B33" s="522"/>
      <c r="C33" s="89">
        <v>97500</v>
      </c>
      <c r="D33" s="87">
        <v>87300</v>
      </c>
      <c r="E33" s="87">
        <v>109000</v>
      </c>
      <c r="F33" s="92">
        <v>1</v>
      </c>
      <c r="G33" s="79">
        <v>0.3</v>
      </c>
      <c r="H33" s="79">
        <v>3</v>
      </c>
      <c r="I33" s="92">
        <v>1.5</v>
      </c>
      <c r="J33" s="79">
        <v>0.5</v>
      </c>
      <c r="K33" s="79">
        <v>5</v>
      </c>
    </row>
    <row r="34" spans="1:11">
      <c r="A34" s="523" t="s">
        <v>447</v>
      </c>
      <c r="B34" s="80" t="s">
        <v>448</v>
      </c>
      <c r="C34" s="89">
        <v>107000</v>
      </c>
      <c r="D34" s="87">
        <v>95700</v>
      </c>
      <c r="E34" s="87">
        <v>119000</v>
      </c>
      <c r="F34" s="92">
        <v>1</v>
      </c>
      <c r="G34" s="79">
        <v>0.3</v>
      </c>
      <c r="H34" s="79">
        <v>3</v>
      </c>
      <c r="I34" s="92">
        <v>1.5</v>
      </c>
      <c r="J34" s="79">
        <v>0.5</v>
      </c>
      <c r="K34" s="79">
        <v>5</v>
      </c>
    </row>
    <row r="35" spans="1:11">
      <c r="A35" s="523"/>
      <c r="B35" s="80" t="s">
        <v>449</v>
      </c>
      <c r="C35" s="89">
        <v>107000</v>
      </c>
      <c r="D35" s="87">
        <v>95700</v>
      </c>
      <c r="E35" s="87">
        <v>119000</v>
      </c>
      <c r="F35" s="92">
        <v>1</v>
      </c>
      <c r="G35" s="79">
        <v>0.3</v>
      </c>
      <c r="H35" s="79">
        <v>3</v>
      </c>
      <c r="I35" s="92">
        <v>0.1</v>
      </c>
      <c r="J35" s="79">
        <v>0.03</v>
      </c>
      <c r="K35" s="79">
        <v>0.3</v>
      </c>
    </row>
    <row r="36" spans="1:11">
      <c r="A36" s="522" t="s">
        <v>450</v>
      </c>
      <c r="B36" s="522"/>
      <c r="C36" s="89">
        <v>80700</v>
      </c>
      <c r="D36" s="87">
        <v>68200</v>
      </c>
      <c r="E36" s="87">
        <v>95300</v>
      </c>
      <c r="F36" s="92">
        <v>1</v>
      </c>
      <c r="G36" s="79">
        <v>0.3</v>
      </c>
      <c r="H36" s="79">
        <v>3</v>
      </c>
      <c r="I36" s="92">
        <v>1.5</v>
      </c>
      <c r="J36" s="79">
        <v>0.5</v>
      </c>
      <c r="K36" s="79">
        <v>5</v>
      </c>
    </row>
    <row r="37" spans="1:11">
      <c r="A37" s="523" t="s">
        <v>451</v>
      </c>
      <c r="B37" s="80" t="s">
        <v>452</v>
      </c>
      <c r="C37" s="89">
        <v>44400</v>
      </c>
      <c r="D37" s="87">
        <v>37300</v>
      </c>
      <c r="E37" s="87">
        <v>54100</v>
      </c>
      <c r="F37" s="92">
        <v>1</v>
      </c>
      <c r="G37" s="79">
        <v>0.3</v>
      </c>
      <c r="H37" s="79">
        <v>3</v>
      </c>
      <c r="I37" s="92">
        <v>0.1</v>
      </c>
      <c r="J37" s="79">
        <v>0.03</v>
      </c>
      <c r="K37" s="79">
        <v>0.3</v>
      </c>
    </row>
    <row r="38" spans="1:11">
      <c r="A38" s="523"/>
      <c r="B38" s="80" t="s">
        <v>453</v>
      </c>
      <c r="C38" s="89">
        <v>44400</v>
      </c>
      <c r="D38" s="87">
        <v>37300</v>
      </c>
      <c r="E38" s="87">
        <v>54100</v>
      </c>
      <c r="F38" s="92">
        <v>1</v>
      </c>
      <c r="G38" s="79">
        <v>0.3</v>
      </c>
      <c r="H38" s="79">
        <v>3</v>
      </c>
      <c r="I38" s="92">
        <v>0.1</v>
      </c>
      <c r="J38" s="79">
        <v>0.03</v>
      </c>
      <c r="K38" s="79">
        <v>0.3</v>
      </c>
    </row>
    <row r="39" spans="1:11">
      <c r="A39" s="523"/>
      <c r="B39" s="80" t="s">
        <v>111</v>
      </c>
      <c r="C39" s="89">
        <v>260000</v>
      </c>
      <c r="D39" s="87">
        <v>219000</v>
      </c>
      <c r="E39" s="87">
        <v>308000</v>
      </c>
      <c r="F39" s="92">
        <v>1</v>
      </c>
      <c r="G39" s="79">
        <v>0.3</v>
      </c>
      <c r="H39" s="79">
        <v>3</v>
      </c>
      <c r="I39" s="92">
        <v>0.1</v>
      </c>
      <c r="J39" s="79">
        <v>0.03</v>
      </c>
      <c r="K39" s="79">
        <v>0.3</v>
      </c>
    </row>
    <row r="40" spans="1:11">
      <c r="A40" s="523"/>
      <c r="B40" s="80" t="s">
        <v>454</v>
      </c>
      <c r="C40" s="89">
        <v>182000</v>
      </c>
      <c r="D40" s="87">
        <v>145000</v>
      </c>
      <c r="E40" s="87">
        <v>202000</v>
      </c>
      <c r="F40" s="92">
        <v>1</v>
      </c>
      <c r="G40" s="79">
        <v>0.3</v>
      </c>
      <c r="H40" s="79">
        <v>3</v>
      </c>
      <c r="I40" s="92">
        <v>0.1</v>
      </c>
      <c r="J40" s="79">
        <v>0.03</v>
      </c>
      <c r="K40" s="79">
        <v>0.3</v>
      </c>
    </row>
    <row r="41" spans="1:11">
      <c r="A41" s="522" t="s">
        <v>115</v>
      </c>
      <c r="B41" s="522"/>
      <c r="C41" s="89">
        <v>56100</v>
      </c>
      <c r="D41" s="87">
        <v>54300</v>
      </c>
      <c r="E41" s="87">
        <v>58300</v>
      </c>
      <c r="F41" s="92">
        <v>1</v>
      </c>
      <c r="G41" s="79">
        <v>0.3</v>
      </c>
      <c r="H41" s="79">
        <v>3</v>
      </c>
      <c r="I41" s="92">
        <v>0.1</v>
      </c>
      <c r="J41" s="79">
        <v>0.03</v>
      </c>
      <c r="K41" s="79">
        <v>0.3</v>
      </c>
    </row>
    <row r="42" spans="1:11">
      <c r="A42" s="522" t="s">
        <v>455</v>
      </c>
      <c r="B42" s="522"/>
      <c r="C42" s="89">
        <v>91700</v>
      </c>
      <c r="D42" s="87">
        <v>73300</v>
      </c>
      <c r="E42" s="87">
        <v>121000</v>
      </c>
      <c r="F42" s="92">
        <v>30</v>
      </c>
      <c r="G42" s="79">
        <v>10</v>
      </c>
      <c r="H42" s="79">
        <v>100</v>
      </c>
      <c r="I42" s="92">
        <v>4</v>
      </c>
      <c r="J42" s="79">
        <v>1.5</v>
      </c>
      <c r="K42" s="79">
        <v>15</v>
      </c>
    </row>
    <row r="43" spans="1:11">
      <c r="A43" s="522" t="s">
        <v>456</v>
      </c>
      <c r="B43" s="522"/>
      <c r="C43" s="89">
        <v>143000</v>
      </c>
      <c r="D43" s="87">
        <v>110000</v>
      </c>
      <c r="E43" s="87">
        <v>183000</v>
      </c>
      <c r="F43" s="92">
        <v>30</v>
      </c>
      <c r="G43" s="79">
        <v>10</v>
      </c>
      <c r="H43" s="79">
        <v>100</v>
      </c>
      <c r="I43" s="92">
        <v>4</v>
      </c>
      <c r="J43" s="79">
        <v>1.5</v>
      </c>
      <c r="K43" s="79">
        <v>15</v>
      </c>
    </row>
    <row r="44" spans="1:11">
      <c r="A44" s="522" t="s">
        <v>457</v>
      </c>
      <c r="B44" s="522"/>
      <c r="C44" s="89">
        <v>73300</v>
      </c>
      <c r="D44" s="87">
        <v>72200</v>
      </c>
      <c r="E44" s="87">
        <v>74400</v>
      </c>
      <c r="F44" s="92">
        <v>30</v>
      </c>
      <c r="G44" s="79">
        <v>10</v>
      </c>
      <c r="H44" s="79">
        <v>100</v>
      </c>
      <c r="I44" s="92">
        <v>4</v>
      </c>
      <c r="J44" s="79">
        <v>1.5</v>
      </c>
      <c r="K44" s="79">
        <v>15</v>
      </c>
    </row>
    <row r="45" spans="1:11">
      <c r="A45" s="522" t="s">
        <v>458</v>
      </c>
      <c r="B45" s="522"/>
      <c r="C45" s="89">
        <v>106000</v>
      </c>
      <c r="D45" s="87">
        <v>100000</v>
      </c>
      <c r="E45" s="87">
        <v>108000</v>
      </c>
      <c r="F45" s="92">
        <v>1</v>
      </c>
      <c r="G45" s="79">
        <v>0.3</v>
      </c>
      <c r="H45" s="79">
        <v>3</v>
      </c>
      <c r="I45" s="92">
        <v>1.5</v>
      </c>
      <c r="J45" s="79">
        <v>0.5</v>
      </c>
      <c r="K45" s="79">
        <v>5</v>
      </c>
    </row>
    <row r="46" spans="1:11">
      <c r="A46" s="524" t="s">
        <v>459</v>
      </c>
      <c r="B46" s="80" t="s">
        <v>460</v>
      </c>
      <c r="C46" s="89">
        <v>112000</v>
      </c>
      <c r="D46" s="87">
        <v>95000</v>
      </c>
      <c r="E46" s="87">
        <v>132000</v>
      </c>
      <c r="F46" s="92">
        <v>30</v>
      </c>
      <c r="G46" s="79">
        <v>10</v>
      </c>
      <c r="H46" s="79">
        <v>100</v>
      </c>
      <c r="I46" s="92">
        <v>4</v>
      </c>
      <c r="J46" s="79">
        <v>1.5</v>
      </c>
      <c r="K46" s="79">
        <v>15</v>
      </c>
    </row>
    <row r="47" spans="1:11">
      <c r="A47" s="524"/>
      <c r="B47" s="80" t="s">
        <v>461</v>
      </c>
      <c r="C47" s="89">
        <v>95300</v>
      </c>
      <c r="D47" s="87">
        <v>80700</v>
      </c>
      <c r="E47" s="87">
        <v>110000</v>
      </c>
      <c r="F47" s="92">
        <v>3</v>
      </c>
      <c r="G47" s="79">
        <v>1</v>
      </c>
      <c r="H47" s="79">
        <v>18</v>
      </c>
      <c r="I47" s="92">
        <v>2</v>
      </c>
      <c r="J47" s="79">
        <v>1</v>
      </c>
      <c r="K47" s="79">
        <v>21</v>
      </c>
    </row>
    <row r="48" spans="1:11">
      <c r="A48" s="524"/>
      <c r="B48" s="80" t="s">
        <v>462</v>
      </c>
      <c r="C48" s="89">
        <v>100000</v>
      </c>
      <c r="D48" s="87">
        <v>84700</v>
      </c>
      <c r="E48" s="87">
        <v>117000</v>
      </c>
      <c r="F48" s="92">
        <v>30</v>
      </c>
      <c r="G48" s="79">
        <v>10</v>
      </c>
      <c r="H48" s="79">
        <v>100</v>
      </c>
      <c r="I48" s="92">
        <v>4</v>
      </c>
      <c r="J48" s="79">
        <v>1.5</v>
      </c>
      <c r="K48" s="79">
        <v>15</v>
      </c>
    </row>
    <row r="49" spans="1:11">
      <c r="A49" s="524"/>
      <c r="B49" s="80" t="s">
        <v>463</v>
      </c>
      <c r="C49" s="89">
        <v>112000</v>
      </c>
      <c r="D49" s="87">
        <v>95000</v>
      </c>
      <c r="E49" s="87">
        <v>132000</v>
      </c>
      <c r="F49" s="92">
        <v>200</v>
      </c>
      <c r="G49" s="79">
        <v>70</v>
      </c>
      <c r="H49" s="79">
        <v>600</v>
      </c>
      <c r="I49" s="92">
        <v>4</v>
      </c>
      <c r="J49" s="79">
        <v>1.5</v>
      </c>
      <c r="K49" s="79">
        <v>15</v>
      </c>
    </row>
    <row r="50" spans="1:11">
      <c r="A50" s="524" t="s">
        <v>464</v>
      </c>
      <c r="B50" s="80" t="s">
        <v>465</v>
      </c>
      <c r="C50" s="89">
        <v>70800</v>
      </c>
      <c r="D50" s="87">
        <v>59800</v>
      </c>
      <c r="E50" s="87">
        <v>84300</v>
      </c>
      <c r="F50" s="92">
        <v>3</v>
      </c>
      <c r="G50" s="79">
        <v>1</v>
      </c>
      <c r="H50" s="79">
        <v>10</v>
      </c>
      <c r="I50" s="92">
        <v>0.6</v>
      </c>
      <c r="J50" s="79">
        <v>0.2</v>
      </c>
      <c r="K50" s="79">
        <v>2</v>
      </c>
    </row>
    <row r="51" spans="1:11">
      <c r="A51" s="524"/>
      <c r="B51" s="80" t="s">
        <v>466</v>
      </c>
      <c r="C51" s="89">
        <v>70800</v>
      </c>
      <c r="D51" s="87">
        <v>59800</v>
      </c>
      <c r="E51" s="87">
        <v>84300</v>
      </c>
      <c r="F51" s="92">
        <v>3</v>
      </c>
      <c r="G51" s="79">
        <v>1</v>
      </c>
      <c r="H51" s="79">
        <v>10</v>
      </c>
      <c r="I51" s="92">
        <v>0.6</v>
      </c>
      <c r="J51" s="79">
        <v>0.2</v>
      </c>
      <c r="K51" s="79">
        <v>2</v>
      </c>
    </row>
    <row r="52" spans="1:11">
      <c r="A52" s="524"/>
      <c r="B52" s="80" t="s">
        <v>467</v>
      </c>
      <c r="C52" s="89">
        <v>79600</v>
      </c>
      <c r="D52" s="87">
        <v>67100</v>
      </c>
      <c r="E52" s="87">
        <v>95300</v>
      </c>
      <c r="F52" s="92">
        <v>3</v>
      </c>
      <c r="G52" s="79">
        <v>1</v>
      </c>
      <c r="H52" s="79">
        <v>10</v>
      </c>
      <c r="I52" s="92">
        <v>0.6</v>
      </c>
      <c r="J52" s="79">
        <v>0.2</v>
      </c>
      <c r="K52" s="79">
        <v>2</v>
      </c>
    </row>
    <row r="53" spans="1:11">
      <c r="A53" s="524" t="s">
        <v>468</v>
      </c>
      <c r="B53" s="80" t="s">
        <v>469</v>
      </c>
      <c r="C53" s="89">
        <v>54600</v>
      </c>
      <c r="D53" s="87">
        <v>46200</v>
      </c>
      <c r="E53" s="87">
        <v>66000</v>
      </c>
      <c r="F53" s="92">
        <v>1</v>
      </c>
      <c r="G53" s="79">
        <v>0.3</v>
      </c>
      <c r="H53" s="79">
        <v>3</v>
      </c>
      <c r="I53" s="92">
        <v>0.1</v>
      </c>
      <c r="J53" s="79">
        <v>0.03</v>
      </c>
      <c r="K53" s="79">
        <v>0.3</v>
      </c>
    </row>
    <row r="54" spans="1:11">
      <c r="A54" s="524"/>
      <c r="B54" s="80" t="s">
        <v>470</v>
      </c>
      <c r="C54" s="89">
        <v>54600</v>
      </c>
      <c r="D54" s="87">
        <v>46200</v>
      </c>
      <c r="E54" s="87">
        <v>66000</v>
      </c>
      <c r="F54" s="92">
        <v>1</v>
      </c>
      <c r="G54" s="79">
        <v>0.3</v>
      </c>
      <c r="H54" s="79">
        <v>3</v>
      </c>
      <c r="I54" s="92">
        <v>0.1</v>
      </c>
      <c r="J54" s="79">
        <v>0.03</v>
      </c>
      <c r="K54" s="79">
        <v>0.3</v>
      </c>
    </row>
    <row r="55" spans="1:11">
      <c r="A55" s="524"/>
      <c r="B55" s="80" t="s">
        <v>471</v>
      </c>
      <c r="C55" s="89">
        <v>54600</v>
      </c>
      <c r="D55" s="87">
        <v>46200</v>
      </c>
      <c r="E55" s="87">
        <v>66000</v>
      </c>
      <c r="F55" s="92">
        <v>1</v>
      </c>
      <c r="G55" s="79">
        <v>0.3</v>
      </c>
      <c r="H55" s="79">
        <v>3</v>
      </c>
      <c r="I55" s="92">
        <v>0.1</v>
      </c>
      <c r="J55" s="79">
        <v>0.03</v>
      </c>
      <c r="K55" s="79">
        <v>0.3</v>
      </c>
    </row>
    <row r="56" spans="1:11" ht="28.8">
      <c r="A56" s="81" t="s">
        <v>472</v>
      </c>
      <c r="B56" s="80" t="s">
        <v>473</v>
      </c>
      <c r="C56" s="89">
        <v>100000</v>
      </c>
      <c r="D56" s="87">
        <v>84700</v>
      </c>
      <c r="E56" s="87">
        <v>117000</v>
      </c>
      <c r="F56" s="92">
        <v>30</v>
      </c>
      <c r="G56" s="79">
        <v>10</v>
      </c>
      <c r="H56" s="79">
        <v>100</v>
      </c>
      <c r="I56" s="92">
        <v>4</v>
      </c>
      <c r="J56" s="79">
        <v>1.5</v>
      </c>
      <c r="K56" s="79">
        <v>15</v>
      </c>
    </row>
    <row r="57" spans="1:11" ht="69" customHeight="1">
      <c r="A57" s="520" t="s">
        <v>474</v>
      </c>
      <c r="B57" s="520"/>
      <c r="C57" s="520"/>
      <c r="D57" s="520"/>
      <c r="E57" s="520"/>
      <c r="F57" s="520"/>
      <c r="G57" s="520"/>
      <c r="H57" s="520"/>
      <c r="I57" s="520"/>
      <c r="J57" s="520"/>
      <c r="K57" s="520"/>
    </row>
  </sheetData>
  <mergeCells count="42">
    <mergeCell ref="A28:B28"/>
    <mergeCell ref="A29:B29"/>
    <mergeCell ref="A43:B43"/>
    <mergeCell ref="A44:B44"/>
    <mergeCell ref="A45:B45"/>
    <mergeCell ref="A31:B31"/>
    <mergeCell ref="A32:B32"/>
    <mergeCell ref="A33:B33"/>
    <mergeCell ref="A36:B36"/>
    <mergeCell ref="A41:B41"/>
    <mergeCell ref="A42:B42"/>
    <mergeCell ref="A19:B19"/>
    <mergeCell ref="A20:B20"/>
    <mergeCell ref="A21:B21"/>
    <mergeCell ref="A26:B26"/>
    <mergeCell ref="A27:B27"/>
    <mergeCell ref="A4:B4"/>
    <mergeCell ref="A5:B5"/>
    <mergeCell ref="A6:B6"/>
    <mergeCell ref="A10:B10"/>
    <mergeCell ref="A11:B11"/>
    <mergeCell ref="A12:B12"/>
    <mergeCell ref="A7:A9"/>
    <mergeCell ref="A22:A25"/>
    <mergeCell ref="A34:A35"/>
    <mergeCell ref="A57:K57"/>
    <mergeCell ref="A46:A49"/>
    <mergeCell ref="A50:A52"/>
    <mergeCell ref="A53:A55"/>
    <mergeCell ref="A37:A40"/>
    <mergeCell ref="A13:B13"/>
    <mergeCell ref="A14:B14"/>
    <mergeCell ref="A30:B30"/>
    <mergeCell ref="A15:B15"/>
    <mergeCell ref="A16:B16"/>
    <mergeCell ref="A17:B17"/>
    <mergeCell ref="A18:B18"/>
    <mergeCell ref="A1:K1"/>
    <mergeCell ref="A2:B3"/>
    <mergeCell ref="C2:E2"/>
    <mergeCell ref="F2:H2"/>
    <mergeCell ref="I2:K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K57"/>
  <sheetViews>
    <sheetView workbookViewId="0">
      <selection sqref="A1:K1"/>
    </sheetView>
  </sheetViews>
  <sheetFormatPr baseColWidth="10" defaultColWidth="9.109375" defaultRowHeight="14.4"/>
  <cols>
    <col min="1" max="1" width="21" customWidth="1"/>
    <col min="2" max="2" width="23.5546875" customWidth="1"/>
    <col min="3" max="5" width="11.88671875" bestFit="1" customWidth="1"/>
  </cols>
  <sheetData>
    <row r="1" spans="1:11" ht="48.75" customHeight="1">
      <c r="A1" s="520" t="s">
        <v>475</v>
      </c>
      <c r="B1" s="520"/>
      <c r="C1" s="520"/>
      <c r="D1" s="520"/>
      <c r="E1" s="520"/>
      <c r="F1" s="520"/>
      <c r="G1" s="520"/>
      <c r="H1" s="520"/>
      <c r="I1" s="520"/>
      <c r="J1" s="520"/>
      <c r="K1" s="520"/>
    </row>
    <row r="2" spans="1:11">
      <c r="A2" s="521" t="s">
        <v>422</v>
      </c>
      <c r="B2" s="521"/>
      <c r="C2" s="521" t="s">
        <v>377</v>
      </c>
      <c r="D2" s="521"/>
      <c r="E2" s="521"/>
      <c r="F2" s="521"/>
      <c r="G2" s="521"/>
      <c r="H2" s="521"/>
      <c r="I2" s="521"/>
      <c r="J2" s="521"/>
      <c r="K2" s="521"/>
    </row>
    <row r="3" spans="1:11">
      <c r="A3" s="521"/>
      <c r="B3" s="521"/>
      <c r="C3" s="88" t="s">
        <v>423</v>
      </c>
      <c r="D3" s="85" t="s">
        <v>424</v>
      </c>
      <c r="E3" s="85" t="s">
        <v>425</v>
      </c>
      <c r="F3" s="90" t="s">
        <v>423</v>
      </c>
      <c r="G3" s="85" t="s">
        <v>424</v>
      </c>
      <c r="H3" s="85" t="s">
        <v>425</v>
      </c>
      <c r="I3" s="88" t="s">
        <v>423</v>
      </c>
      <c r="J3" s="85" t="s">
        <v>424</v>
      </c>
      <c r="K3" s="85" t="s">
        <v>425</v>
      </c>
    </row>
    <row r="4" spans="1:11">
      <c r="A4" s="522" t="s">
        <v>426</v>
      </c>
      <c r="B4" s="525"/>
      <c r="C4" s="89">
        <v>73300</v>
      </c>
      <c r="D4" s="87">
        <v>71100</v>
      </c>
      <c r="E4" s="87">
        <v>75500</v>
      </c>
      <c r="F4" s="91">
        <v>3</v>
      </c>
      <c r="G4" s="86">
        <v>1</v>
      </c>
      <c r="H4" s="86">
        <v>10</v>
      </c>
      <c r="I4" s="91">
        <v>0.6</v>
      </c>
      <c r="J4" s="86">
        <v>0.2</v>
      </c>
      <c r="K4" s="86">
        <v>2</v>
      </c>
    </row>
    <row r="5" spans="1:11">
      <c r="A5" s="522" t="s">
        <v>427</v>
      </c>
      <c r="B5" s="525"/>
      <c r="C5" s="89">
        <v>77000</v>
      </c>
      <c r="D5" s="87">
        <v>69300</v>
      </c>
      <c r="E5" s="87">
        <v>85400</v>
      </c>
      <c r="F5" s="91">
        <v>3</v>
      </c>
      <c r="G5" s="86">
        <v>1</v>
      </c>
      <c r="H5" s="86">
        <v>10</v>
      </c>
      <c r="I5" s="91">
        <v>0.6</v>
      </c>
      <c r="J5" s="86">
        <v>0.2</v>
      </c>
      <c r="K5" s="86">
        <v>2</v>
      </c>
    </row>
    <row r="6" spans="1:11">
      <c r="A6" s="522" t="s">
        <v>428</v>
      </c>
      <c r="B6" s="525"/>
      <c r="C6" s="89">
        <v>64200</v>
      </c>
      <c r="D6" s="87">
        <v>58300</v>
      </c>
      <c r="E6" s="87">
        <v>70400</v>
      </c>
      <c r="F6" s="91">
        <v>3</v>
      </c>
      <c r="G6" s="86">
        <v>1</v>
      </c>
      <c r="H6" s="86">
        <v>10</v>
      </c>
      <c r="I6" s="91">
        <v>0.6</v>
      </c>
      <c r="J6" s="86">
        <v>0.2</v>
      </c>
      <c r="K6" s="86">
        <v>2</v>
      </c>
    </row>
    <row r="7" spans="1:11">
      <c r="A7" s="523" t="s">
        <v>110</v>
      </c>
      <c r="B7" s="93" t="s">
        <v>396</v>
      </c>
      <c r="C7" s="89">
        <v>69300</v>
      </c>
      <c r="D7" s="87">
        <v>67500</v>
      </c>
      <c r="E7" s="87">
        <v>73000</v>
      </c>
      <c r="F7" s="91">
        <v>3</v>
      </c>
      <c r="G7" s="86">
        <v>1</v>
      </c>
      <c r="H7" s="86">
        <v>10</v>
      </c>
      <c r="I7" s="91">
        <v>0.6</v>
      </c>
      <c r="J7" s="86">
        <v>0.2</v>
      </c>
      <c r="K7" s="86">
        <v>2</v>
      </c>
    </row>
    <row r="8" spans="1:11">
      <c r="A8" s="523"/>
      <c r="B8" s="82" t="s">
        <v>429</v>
      </c>
      <c r="C8" s="89">
        <v>70000</v>
      </c>
      <c r="D8" s="87">
        <v>67500</v>
      </c>
      <c r="E8" s="87">
        <v>73000</v>
      </c>
      <c r="F8" s="91">
        <v>3</v>
      </c>
      <c r="G8" s="86">
        <v>1</v>
      </c>
      <c r="H8" s="86">
        <v>10</v>
      </c>
      <c r="I8" s="91">
        <v>0.6</v>
      </c>
      <c r="J8" s="86">
        <v>0.2</v>
      </c>
      <c r="K8" s="86">
        <v>2</v>
      </c>
    </row>
    <row r="9" spans="1:11">
      <c r="A9" s="523"/>
      <c r="B9" s="82" t="s">
        <v>430</v>
      </c>
      <c r="C9" s="89">
        <v>70000</v>
      </c>
      <c r="D9" s="87">
        <v>67500</v>
      </c>
      <c r="E9" s="87">
        <v>73000</v>
      </c>
      <c r="F9" s="91">
        <v>3</v>
      </c>
      <c r="G9" s="86">
        <v>1</v>
      </c>
      <c r="H9" s="86">
        <v>10</v>
      </c>
      <c r="I9" s="91">
        <v>0.6</v>
      </c>
      <c r="J9" s="86">
        <v>0.2</v>
      </c>
      <c r="K9" s="86">
        <v>2</v>
      </c>
    </row>
    <row r="10" spans="1:11">
      <c r="A10" s="522" t="s">
        <v>431</v>
      </c>
      <c r="B10" s="525"/>
      <c r="C10" s="89">
        <v>71500</v>
      </c>
      <c r="D10" s="87">
        <v>69700</v>
      </c>
      <c r="E10" s="87">
        <v>74400</v>
      </c>
      <c r="F10" s="91">
        <v>3</v>
      </c>
      <c r="G10" s="86">
        <v>1</v>
      </c>
      <c r="H10" s="86">
        <v>10</v>
      </c>
      <c r="I10" s="91">
        <v>0.6</v>
      </c>
      <c r="J10" s="86">
        <v>0.2</v>
      </c>
      <c r="K10" s="86">
        <v>2</v>
      </c>
    </row>
    <row r="11" spans="1:11">
      <c r="A11" s="526" t="s">
        <v>410</v>
      </c>
      <c r="B11" s="527"/>
      <c r="C11" s="89">
        <v>71900</v>
      </c>
      <c r="D11" s="87">
        <v>70800</v>
      </c>
      <c r="E11" s="87">
        <v>73700</v>
      </c>
      <c r="F11" s="91">
        <v>3</v>
      </c>
      <c r="G11" s="86">
        <v>1</v>
      </c>
      <c r="H11" s="86">
        <v>10</v>
      </c>
      <c r="I11" s="91">
        <v>0.6</v>
      </c>
      <c r="J11" s="86">
        <v>0.2</v>
      </c>
      <c r="K11" s="86">
        <v>2</v>
      </c>
    </row>
    <row r="12" spans="1:11">
      <c r="A12" s="522" t="s">
        <v>432</v>
      </c>
      <c r="B12" s="525"/>
      <c r="C12" s="89">
        <v>73300</v>
      </c>
      <c r="D12" s="87">
        <v>67800</v>
      </c>
      <c r="E12" s="87">
        <v>79200</v>
      </c>
      <c r="F12" s="91">
        <v>3</v>
      </c>
      <c r="G12" s="86">
        <v>1</v>
      </c>
      <c r="H12" s="86">
        <v>10</v>
      </c>
      <c r="I12" s="91">
        <v>0.6</v>
      </c>
      <c r="J12" s="86">
        <v>0.2</v>
      </c>
      <c r="K12" s="86">
        <v>2</v>
      </c>
    </row>
    <row r="13" spans="1:11">
      <c r="A13" s="526" t="s">
        <v>416</v>
      </c>
      <c r="B13" s="527"/>
      <c r="C13" s="89">
        <v>74100</v>
      </c>
      <c r="D13" s="87">
        <v>72600</v>
      </c>
      <c r="E13" s="87">
        <v>74800</v>
      </c>
      <c r="F13" s="91">
        <v>3</v>
      </c>
      <c r="G13" s="86">
        <v>1</v>
      </c>
      <c r="H13" s="86">
        <v>10</v>
      </c>
      <c r="I13" s="91">
        <v>0.6</v>
      </c>
      <c r="J13" s="86">
        <v>0.2</v>
      </c>
      <c r="K13" s="86">
        <v>2</v>
      </c>
    </row>
    <row r="14" spans="1:11">
      <c r="A14" s="526" t="s">
        <v>418</v>
      </c>
      <c r="B14" s="527"/>
      <c r="C14" s="89">
        <v>77400</v>
      </c>
      <c r="D14" s="87">
        <v>75500</v>
      </c>
      <c r="E14" s="87">
        <v>78800</v>
      </c>
      <c r="F14" s="91">
        <v>3</v>
      </c>
      <c r="G14" s="86">
        <v>1</v>
      </c>
      <c r="H14" s="86">
        <v>10</v>
      </c>
      <c r="I14" s="91">
        <v>0.6</v>
      </c>
      <c r="J14" s="86">
        <v>0.2</v>
      </c>
      <c r="K14" s="86">
        <v>2</v>
      </c>
    </row>
    <row r="15" spans="1:11">
      <c r="A15" s="526" t="s">
        <v>433</v>
      </c>
      <c r="B15" s="527"/>
      <c r="C15" s="89">
        <v>63100</v>
      </c>
      <c r="D15" s="87">
        <v>61600</v>
      </c>
      <c r="E15" s="87">
        <v>65600</v>
      </c>
      <c r="F15" s="91">
        <v>1</v>
      </c>
      <c r="G15" s="86">
        <v>0.3</v>
      </c>
      <c r="H15" s="86">
        <v>3</v>
      </c>
      <c r="I15" s="91">
        <v>0.1</v>
      </c>
      <c r="J15" s="86">
        <v>0.03</v>
      </c>
      <c r="K15" s="86">
        <v>0.3</v>
      </c>
    </row>
    <row r="16" spans="1:11">
      <c r="A16" s="522" t="s">
        <v>434</v>
      </c>
      <c r="B16" s="525"/>
      <c r="C16" s="89">
        <v>61600</v>
      </c>
      <c r="D16" s="87">
        <v>56500</v>
      </c>
      <c r="E16" s="87">
        <v>68600</v>
      </c>
      <c r="F16" s="91">
        <v>1</v>
      </c>
      <c r="G16" s="86">
        <v>0.3</v>
      </c>
      <c r="H16" s="86">
        <v>3</v>
      </c>
      <c r="I16" s="91">
        <v>0.1</v>
      </c>
      <c r="J16" s="86">
        <v>0.03</v>
      </c>
      <c r="K16" s="86">
        <v>0.3</v>
      </c>
    </row>
    <row r="17" spans="1:11">
      <c r="A17" s="526" t="s">
        <v>101</v>
      </c>
      <c r="B17" s="527"/>
      <c r="C17" s="89">
        <v>73300</v>
      </c>
      <c r="D17" s="87">
        <v>69300</v>
      </c>
      <c r="E17" s="87">
        <v>76300</v>
      </c>
      <c r="F17" s="91">
        <v>3</v>
      </c>
      <c r="G17" s="86">
        <v>1</v>
      </c>
      <c r="H17" s="86">
        <v>10</v>
      </c>
      <c r="I17" s="91">
        <v>0.6</v>
      </c>
      <c r="J17" s="86">
        <v>0.2</v>
      </c>
      <c r="K17" s="86">
        <v>2</v>
      </c>
    </row>
    <row r="18" spans="1:11">
      <c r="A18" s="522" t="s">
        <v>435</v>
      </c>
      <c r="B18" s="525"/>
      <c r="C18" s="89">
        <v>80700</v>
      </c>
      <c r="D18" s="87">
        <v>73000</v>
      </c>
      <c r="E18" s="87">
        <v>89900</v>
      </c>
      <c r="F18" s="91">
        <v>3</v>
      </c>
      <c r="G18" s="86">
        <v>1</v>
      </c>
      <c r="H18" s="86">
        <v>10</v>
      </c>
      <c r="I18" s="91">
        <v>0.6</v>
      </c>
      <c r="J18" s="86">
        <v>0.2</v>
      </c>
      <c r="K18" s="86">
        <v>2</v>
      </c>
    </row>
    <row r="19" spans="1:11">
      <c r="A19" s="522" t="s">
        <v>238</v>
      </c>
      <c r="B19" s="525"/>
      <c r="C19" s="89">
        <v>73300</v>
      </c>
      <c r="D19" s="87">
        <v>71900</v>
      </c>
      <c r="E19" s="87">
        <v>75200</v>
      </c>
      <c r="F19" s="91">
        <v>3</v>
      </c>
      <c r="G19" s="86">
        <v>1</v>
      </c>
      <c r="H19" s="86">
        <v>10</v>
      </c>
      <c r="I19" s="91">
        <v>0.6</v>
      </c>
      <c r="J19" s="86">
        <v>0.2</v>
      </c>
      <c r="K19" s="86">
        <v>2</v>
      </c>
    </row>
    <row r="20" spans="1:11">
      <c r="A20" s="526" t="s">
        <v>413</v>
      </c>
      <c r="B20" s="527"/>
      <c r="C20" s="89">
        <v>97500</v>
      </c>
      <c r="D20" s="87">
        <v>82900</v>
      </c>
      <c r="E20" s="87">
        <v>115000</v>
      </c>
      <c r="F20" s="91">
        <v>3</v>
      </c>
      <c r="G20" s="86">
        <v>1</v>
      </c>
      <c r="H20" s="86">
        <v>10</v>
      </c>
      <c r="I20" s="91">
        <v>0.6</v>
      </c>
      <c r="J20" s="86">
        <v>0.2</v>
      </c>
      <c r="K20" s="86">
        <v>2</v>
      </c>
    </row>
    <row r="21" spans="1:11">
      <c r="A21" s="522" t="s">
        <v>436</v>
      </c>
      <c r="B21" s="525"/>
      <c r="C21" s="89">
        <v>73300</v>
      </c>
      <c r="D21" s="87">
        <v>68900</v>
      </c>
      <c r="E21" s="87">
        <v>76600</v>
      </c>
      <c r="F21" s="91">
        <v>3</v>
      </c>
      <c r="G21" s="86">
        <v>1</v>
      </c>
      <c r="H21" s="86">
        <v>10</v>
      </c>
      <c r="I21" s="91">
        <v>0.6</v>
      </c>
      <c r="J21" s="86">
        <v>0.2</v>
      </c>
      <c r="K21" s="86">
        <v>2</v>
      </c>
    </row>
    <row r="22" spans="1:11">
      <c r="A22" s="523" t="s">
        <v>437</v>
      </c>
      <c r="B22" s="101" t="s">
        <v>113</v>
      </c>
      <c r="C22" s="89">
        <v>57600</v>
      </c>
      <c r="D22" s="87">
        <v>48200</v>
      </c>
      <c r="E22" s="87">
        <v>69000</v>
      </c>
      <c r="F22" s="91">
        <v>1</v>
      </c>
      <c r="G22" s="86">
        <v>0.3</v>
      </c>
      <c r="H22" s="86">
        <v>3</v>
      </c>
      <c r="I22" s="91">
        <v>0.1</v>
      </c>
      <c r="J22" s="86">
        <v>0.03</v>
      </c>
      <c r="K22" s="86">
        <v>0.3</v>
      </c>
    </row>
    <row r="23" spans="1:11">
      <c r="A23" s="523"/>
      <c r="B23" s="83" t="s">
        <v>438</v>
      </c>
      <c r="C23" s="89">
        <v>73300</v>
      </c>
      <c r="D23" s="87">
        <v>72200</v>
      </c>
      <c r="E23" s="87">
        <v>74400</v>
      </c>
      <c r="F23" s="91">
        <v>3</v>
      </c>
      <c r="G23" s="86">
        <v>1</v>
      </c>
      <c r="H23" s="86">
        <v>10</v>
      </c>
      <c r="I23" s="91">
        <v>0.6</v>
      </c>
      <c r="J23" s="86">
        <v>0.2</v>
      </c>
      <c r="K23" s="86">
        <v>2</v>
      </c>
    </row>
    <row r="24" spans="1:11">
      <c r="A24" s="523"/>
      <c r="B24" s="83" t="s">
        <v>439</v>
      </c>
      <c r="C24" s="89">
        <v>73300</v>
      </c>
      <c r="D24" s="87">
        <v>72200</v>
      </c>
      <c r="E24" s="87">
        <v>74400</v>
      </c>
      <c r="F24" s="91">
        <v>3</v>
      </c>
      <c r="G24" s="86">
        <v>1</v>
      </c>
      <c r="H24" s="86">
        <v>10</v>
      </c>
      <c r="I24" s="91">
        <v>0.6</v>
      </c>
      <c r="J24" s="86">
        <v>0.2</v>
      </c>
      <c r="K24" s="86">
        <v>2</v>
      </c>
    </row>
    <row r="25" spans="1:11" ht="28.8">
      <c r="A25" s="523"/>
      <c r="B25" s="84" t="s">
        <v>440</v>
      </c>
      <c r="C25" s="89">
        <v>73300</v>
      </c>
      <c r="D25" s="87">
        <v>72200</v>
      </c>
      <c r="E25" s="87">
        <v>74400</v>
      </c>
      <c r="F25" s="91">
        <v>3</v>
      </c>
      <c r="G25" s="86">
        <v>1</v>
      </c>
      <c r="H25" s="86">
        <v>10</v>
      </c>
      <c r="I25" s="91">
        <v>0.6</v>
      </c>
      <c r="J25" s="86">
        <v>0.2</v>
      </c>
      <c r="K25" s="86">
        <v>2</v>
      </c>
    </row>
    <row r="26" spans="1:11">
      <c r="A26" s="522" t="s">
        <v>441</v>
      </c>
      <c r="B26" s="525"/>
      <c r="C26" s="89">
        <v>98300</v>
      </c>
      <c r="D26" s="87">
        <v>94600</v>
      </c>
      <c r="E26" s="87">
        <v>101000</v>
      </c>
      <c r="F26" s="91">
        <v>10</v>
      </c>
      <c r="G26" s="86">
        <v>3</v>
      </c>
      <c r="H26" s="86">
        <v>30</v>
      </c>
      <c r="I26" s="91">
        <v>1.5</v>
      </c>
      <c r="J26" s="86">
        <v>0.5</v>
      </c>
      <c r="K26" s="86">
        <v>5</v>
      </c>
    </row>
    <row r="27" spans="1:11">
      <c r="A27" s="526" t="s">
        <v>389</v>
      </c>
      <c r="B27" s="527"/>
      <c r="C27" s="89">
        <v>94600</v>
      </c>
      <c r="D27" s="87">
        <v>87300</v>
      </c>
      <c r="E27" s="87">
        <v>101000</v>
      </c>
      <c r="F27" s="91">
        <v>10</v>
      </c>
      <c r="G27" s="86">
        <v>3</v>
      </c>
      <c r="H27" s="86">
        <v>30</v>
      </c>
      <c r="I27" s="91">
        <v>1.5</v>
      </c>
      <c r="J27" s="86">
        <v>0.5</v>
      </c>
      <c r="K27" s="86">
        <v>5</v>
      </c>
    </row>
    <row r="28" spans="1:11">
      <c r="A28" s="526" t="s">
        <v>393</v>
      </c>
      <c r="B28" s="527"/>
      <c r="C28" s="89">
        <v>94600</v>
      </c>
      <c r="D28" s="87">
        <v>89500</v>
      </c>
      <c r="E28" s="87">
        <v>99700</v>
      </c>
      <c r="F28" s="91">
        <v>10</v>
      </c>
      <c r="G28" s="86">
        <v>3</v>
      </c>
      <c r="H28" s="86">
        <v>30</v>
      </c>
      <c r="I28" s="91">
        <v>1.5</v>
      </c>
      <c r="J28" s="86">
        <v>0.5</v>
      </c>
      <c r="K28" s="86">
        <v>5</v>
      </c>
    </row>
    <row r="29" spans="1:11">
      <c r="A29" s="522" t="s">
        <v>442</v>
      </c>
      <c r="B29" s="525"/>
      <c r="C29" s="89">
        <v>96100</v>
      </c>
      <c r="D29" s="87">
        <v>92800</v>
      </c>
      <c r="E29" s="87">
        <v>100000</v>
      </c>
      <c r="F29" s="91">
        <v>10</v>
      </c>
      <c r="G29" s="86">
        <v>3</v>
      </c>
      <c r="H29" s="86">
        <v>30</v>
      </c>
      <c r="I29" s="91">
        <v>1.5</v>
      </c>
      <c r="J29" s="86">
        <v>0.5</v>
      </c>
      <c r="K29" s="86">
        <v>5</v>
      </c>
    </row>
    <row r="30" spans="1:11">
      <c r="A30" s="522" t="s">
        <v>443</v>
      </c>
      <c r="B30" s="525"/>
      <c r="C30" s="89">
        <v>101000</v>
      </c>
      <c r="D30" s="87">
        <v>90900</v>
      </c>
      <c r="E30" s="87">
        <v>115000</v>
      </c>
      <c r="F30" s="91">
        <v>10</v>
      </c>
      <c r="G30" s="86">
        <v>3</v>
      </c>
      <c r="H30" s="86">
        <v>30</v>
      </c>
      <c r="I30" s="91">
        <v>1.5</v>
      </c>
      <c r="J30" s="86">
        <v>0.5</v>
      </c>
      <c r="K30" s="86">
        <v>5</v>
      </c>
    </row>
    <row r="31" spans="1:11">
      <c r="A31" s="522" t="s">
        <v>444</v>
      </c>
      <c r="B31" s="525"/>
      <c r="C31" s="89">
        <v>107000</v>
      </c>
      <c r="D31" s="87">
        <v>90200</v>
      </c>
      <c r="E31" s="87">
        <v>125000</v>
      </c>
      <c r="F31" s="91">
        <v>10</v>
      </c>
      <c r="G31" s="86">
        <v>3</v>
      </c>
      <c r="H31" s="86">
        <v>30</v>
      </c>
      <c r="I31" s="91">
        <v>1.5</v>
      </c>
      <c r="J31" s="86">
        <v>0.5</v>
      </c>
      <c r="K31" s="86">
        <v>5</v>
      </c>
    </row>
    <row r="32" spans="1:11">
      <c r="A32" s="522" t="s">
        <v>445</v>
      </c>
      <c r="B32" s="525"/>
      <c r="C32" s="89">
        <v>97500</v>
      </c>
      <c r="D32" s="87">
        <v>87300</v>
      </c>
      <c r="E32" s="87">
        <v>109000</v>
      </c>
      <c r="F32" s="91">
        <v>10</v>
      </c>
      <c r="G32" s="86">
        <v>3</v>
      </c>
      <c r="H32" s="86">
        <v>30</v>
      </c>
      <c r="I32" s="91">
        <v>1.5</v>
      </c>
      <c r="J32" s="86">
        <v>0.5</v>
      </c>
      <c r="K32" s="86">
        <v>5</v>
      </c>
    </row>
    <row r="33" spans="1:11">
      <c r="A33" s="522" t="s">
        <v>446</v>
      </c>
      <c r="B33" s="525"/>
      <c r="C33" s="89">
        <v>97500</v>
      </c>
      <c r="D33" s="87">
        <v>87300</v>
      </c>
      <c r="E33" s="87">
        <v>109000</v>
      </c>
      <c r="F33" s="91">
        <v>10</v>
      </c>
      <c r="G33" s="86">
        <v>3</v>
      </c>
      <c r="H33" s="86">
        <v>30</v>
      </c>
      <c r="I33" s="91">
        <v>1.5</v>
      </c>
      <c r="J33" s="86">
        <v>0.5</v>
      </c>
      <c r="K33" s="86">
        <v>5</v>
      </c>
    </row>
    <row r="34" spans="1:11" ht="28.8">
      <c r="A34" s="523" t="s">
        <v>447</v>
      </c>
      <c r="B34" s="84" t="s">
        <v>448</v>
      </c>
      <c r="C34" s="89">
        <v>107000</v>
      </c>
      <c r="D34" s="87">
        <v>95700</v>
      </c>
      <c r="E34" s="87">
        <v>119000</v>
      </c>
      <c r="F34" s="91">
        <v>10</v>
      </c>
      <c r="G34" s="86">
        <v>3</v>
      </c>
      <c r="H34" s="86">
        <v>30</v>
      </c>
      <c r="I34" s="91">
        <v>1.5</v>
      </c>
      <c r="J34" s="86">
        <v>0.5</v>
      </c>
      <c r="K34" s="86">
        <v>5</v>
      </c>
    </row>
    <row r="35" spans="1:11">
      <c r="A35" s="523"/>
      <c r="B35" s="83" t="s">
        <v>449</v>
      </c>
      <c r="C35" s="89">
        <v>107000</v>
      </c>
      <c r="D35" s="87">
        <v>95700</v>
      </c>
      <c r="E35" s="87">
        <v>119000</v>
      </c>
      <c r="F35" s="91">
        <v>1</v>
      </c>
      <c r="G35" s="86">
        <v>0.3</v>
      </c>
      <c r="H35" s="86">
        <v>3</v>
      </c>
      <c r="I35" s="91">
        <v>0.1</v>
      </c>
      <c r="J35" s="86">
        <v>0.03</v>
      </c>
      <c r="K35" s="86">
        <v>0.3</v>
      </c>
    </row>
    <row r="36" spans="1:11">
      <c r="A36" s="522" t="s">
        <v>450</v>
      </c>
      <c r="B36" s="525"/>
      <c r="C36" s="89">
        <v>80700</v>
      </c>
      <c r="D36" s="87">
        <v>68200</v>
      </c>
      <c r="E36" s="87">
        <v>95300</v>
      </c>
      <c r="F36" s="91">
        <v>10</v>
      </c>
      <c r="G36" s="86">
        <v>3</v>
      </c>
      <c r="H36" s="86">
        <v>30</v>
      </c>
      <c r="I36" s="91">
        <v>1.5</v>
      </c>
      <c r="J36" s="86">
        <v>0.5</v>
      </c>
      <c r="K36" s="86">
        <v>5</v>
      </c>
    </row>
    <row r="37" spans="1:11">
      <c r="A37" s="523" t="s">
        <v>451</v>
      </c>
      <c r="B37" s="83" t="s">
        <v>452</v>
      </c>
      <c r="C37" s="89">
        <v>44400</v>
      </c>
      <c r="D37" s="87">
        <v>37300</v>
      </c>
      <c r="E37" s="87">
        <v>54100</v>
      </c>
      <c r="F37" s="91">
        <v>1</v>
      </c>
      <c r="G37" s="86">
        <v>0.3</v>
      </c>
      <c r="H37" s="86">
        <v>3</v>
      </c>
      <c r="I37" s="91">
        <v>0.1</v>
      </c>
      <c r="J37" s="86">
        <v>0.03</v>
      </c>
      <c r="K37" s="86">
        <v>0.3</v>
      </c>
    </row>
    <row r="38" spans="1:11">
      <c r="A38" s="523"/>
      <c r="B38" s="83" t="s">
        <v>453</v>
      </c>
      <c r="C38" s="89">
        <v>44400</v>
      </c>
      <c r="D38" s="87">
        <v>37300</v>
      </c>
      <c r="E38" s="87">
        <v>54100</v>
      </c>
      <c r="F38" s="91">
        <v>1</v>
      </c>
      <c r="G38" s="86">
        <v>0.3</v>
      </c>
      <c r="H38" s="86">
        <v>3</v>
      </c>
      <c r="I38" s="91">
        <v>0.1</v>
      </c>
      <c r="J38" s="86">
        <v>0.03</v>
      </c>
      <c r="K38" s="86">
        <v>0.3</v>
      </c>
    </row>
    <row r="39" spans="1:11">
      <c r="A39" s="523"/>
      <c r="B39" s="101" t="s">
        <v>111</v>
      </c>
      <c r="C39" s="89">
        <v>260000</v>
      </c>
      <c r="D39" s="87">
        <v>219000</v>
      </c>
      <c r="E39" s="87">
        <v>308000</v>
      </c>
      <c r="F39" s="91">
        <v>1</v>
      </c>
      <c r="G39" s="86">
        <v>0.3</v>
      </c>
      <c r="H39" s="86">
        <v>3</v>
      </c>
      <c r="I39" s="91">
        <v>0.1</v>
      </c>
      <c r="J39" s="86">
        <v>0.03</v>
      </c>
      <c r="K39" s="86">
        <v>0.3</v>
      </c>
    </row>
    <row r="40" spans="1:11" ht="28.8">
      <c r="A40" s="523"/>
      <c r="B40" s="84" t="s">
        <v>454</v>
      </c>
      <c r="C40" s="89">
        <v>182000</v>
      </c>
      <c r="D40" s="87">
        <v>145000</v>
      </c>
      <c r="E40" s="87">
        <v>202000</v>
      </c>
      <c r="F40" s="91">
        <v>1</v>
      </c>
      <c r="G40" s="86">
        <v>0.3</v>
      </c>
      <c r="H40" s="86">
        <v>3</v>
      </c>
      <c r="I40" s="91">
        <v>0.1</v>
      </c>
      <c r="J40" s="86">
        <v>0.03</v>
      </c>
      <c r="K40" s="86">
        <v>0.3</v>
      </c>
    </row>
    <row r="41" spans="1:11">
      <c r="A41" s="526" t="s">
        <v>115</v>
      </c>
      <c r="B41" s="527"/>
      <c r="C41" s="89">
        <v>56100</v>
      </c>
      <c r="D41" s="87">
        <v>54300</v>
      </c>
      <c r="E41" s="87">
        <v>58300</v>
      </c>
      <c r="F41" s="91">
        <v>1</v>
      </c>
      <c r="G41" s="86">
        <v>0.3</v>
      </c>
      <c r="H41" s="86">
        <v>3</v>
      </c>
      <c r="I41" s="91">
        <v>0.1</v>
      </c>
      <c r="J41" s="86">
        <v>0.03</v>
      </c>
      <c r="K41" s="86">
        <v>0.3</v>
      </c>
    </row>
    <row r="42" spans="1:11">
      <c r="A42" s="522" t="s">
        <v>455</v>
      </c>
      <c r="B42" s="525"/>
      <c r="C42" s="89">
        <v>91700</v>
      </c>
      <c r="D42" s="87">
        <v>73300</v>
      </c>
      <c r="E42" s="87">
        <v>121000</v>
      </c>
      <c r="F42" s="91">
        <v>30</v>
      </c>
      <c r="G42" s="86">
        <v>10</v>
      </c>
      <c r="H42" s="86">
        <v>100</v>
      </c>
      <c r="I42" s="91">
        <v>4</v>
      </c>
      <c r="J42" s="86">
        <v>1.5</v>
      </c>
      <c r="K42" s="86">
        <v>15</v>
      </c>
    </row>
    <row r="43" spans="1:11">
      <c r="A43" s="522" t="s">
        <v>456</v>
      </c>
      <c r="B43" s="525"/>
      <c r="C43" s="89">
        <v>143000</v>
      </c>
      <c r="D43" s="87">
        <v>110000</v>
      </c>
      <c r="E43" s="87">
        <v>183000</v>
      </c>
      <c r="F43" s="91">
        <v>30</v>
      </c>
      <c r="G43" s="86">
        <v>10</v>
      </c>
      <c r="H43" s="86">
        <v>100</v>
      </c>
      <c r="I43" s="91">
        <v>4</v>
      </c>
      <c r="J43" s="86">
        <v>1.5</v>
      </c>
      <c r="K43" s="86">
        <v>15</v>
      </c>
    </row>
    <row r="44" spans="1:11">
      <c r="A44" s="522" t="s">
        <v>457</v>
      </c>
      <c r="B44" s="525"/>
      <c r="C44" s="89">
        <v>73300</v>
      </c>
      <c r="D44" s="87">
        <v>72200</v>
      </c>
      <c r="E44" s="87">
        <v>74400</v>
      </c>
      <c r="F44" s="91">
        <v>30</v>
      </c>
      <c r="G44" s="86">
        <v>10</v>
      </c>
      <c r="H44" s="86">
        <v>100</v>
      </c>
      <c r="I44" s="91">
        <v>4</v>
      </c>
      <c r="J44" s="86">
        <v>1.5</v>
      </c>
      <c r="K44" s="86">
        <v>15</v>
      </c>
    </row>
    <row r="45" spans="1:11">
      <c r="A45" s="522" t="s">
        <v>458</v>
      </c>
      <c r="B45" s="525"/>
      <c r="C45" s="89">
        <v>106000</v>
      </c>
      <c r="D45" s="87">
        <v>100000</v>
      </c>
      <c r="E45" s="87">
        <v>108000</v>
      </c>
      <c r="F45" s="91">
        <v>2</v>
      </c>
      <c r="G45" s="86">
        <v>0.6</v>
      </c>
      <c r="H45" s="86">
        <v>6</v>
      </c>
      <c r="I45" s="91">
        <v>1.5</v>
      </c>
      <c r="J45" s="86">
        <v>0.5</v>
      </c>
      <c r="K45" s="86">
        <v>5</v>
      </c>
    </row>
    <row r="46" spans="1:11" ht="28.8">
      <c r="A46" s="524" t="s">
        <v>459</v>
      </c>
      <c r="B46" s="84" t="s">
        <v>460</v>
      </c>
      <c r="C46" s="89">
        <v>112000</v>
      </c>
      <c r="D46" s="87">
        <v>95000</v>
      </c>
      <c r="E46" s="87">
        <v>132000</v>
      </c>
      <c r="F46" s="91">
        <v>30</v>
      </c>
      <c r="G46" s="86">
        <v>10</v>
      </c>
      <c r="H46" s="86">
        <v>100</v>
      </c>
      <c r="I46" s="91">
        <v>4</v>
      </c>
      <c r="J46" s="86">
        <v>1.5</v>
      </c>
      <c r="K46" s="86">
        <v>15</v>
      </c>
    </row>
    <row r="47" spans="1:11" ht="28.8">
      <c r="A47" s="524"/>
      <c r="B47" s="84" t="s">
        <v>461</v>
      </c>
      <c r="C47" s="89">
        <v>95300</v>
      </c>
      <c r="D47" s="87">
        <v>80700</v>
      </c>
      <c r="E47" s="87">
        <v>110000</v>
      </c>
      <c r="F47" s="91">
        <v>3</v>
      </c>
      <c r="G47" s="86">
        <v>1</v>
      </c>
      <c r="H47" s="86">
        <v>18</v>
      </c>
      <c r="I47" s="91">
        <v>2</v>
      </c>
      <c r="J47" s="86">
        <v>1</v>
      </c>
      <c r="K47" s="86">
        <v>21</v>
      </c>
    </row>
    <row r="48" spans="1:11" ht="28.8">
      <c r="A48" s="524"/>
      <c r="B48" s="84" t="s">
        <v>462</v>
      </c>
      <c r="C48" s="89">
        <v>100000</v>
      </c>
      <c r="D48" s="87">
        <v>84700</v>
      </c>
      <c r="E48" s="87">
        <v>117000</v>
      </c>
      <c r="F48" s="91">
        <v>30</v>
      </c>
      <c r="G48" s="86">
        <v>10</v>
      </c>
      <c r="H48" s="86">
        <v>100</v>
      </c>
      <c r="I48" s="91">
        <v>4</v>
      </c>
      <c r="J48" s="86">
        <v>1.5</v>
      </c>
      <c r="K48" s="86">
        <v>15</v>
      </c>
    </row>
    <row r="49" spans="1:11">
      <c r="A49" s="524"/>
      <c r="B49" s="83" t="s">
        <v>463</v>
      </c>
      <c r="C49" s="89">
        <v>112000</v>
      </c>
      <c r="D49" s="87">
        <v>95000</v>
      </c>
      <c r="E49" s="87">
        <v>132000</v>
      </c>
      <c r="F49" s="91">
        <v>200</v>
      </c>
      <c r="G49" s="86">
        <v>70</v>
      </c>
      <c r="H49" s="86">
        <v>600</v>
      </c>
      <c r="I49" s="91">
        <v>4</v>
      </c>
      <c r="J49" s="86">
        <v>1.5</v>
      </c>
      <c r="K49" s="86">
        <v>15</v>
      </c>
    </row>
    <row r="50" spans="1:11">
      <c r="A50" s="524" t="s">
        <v>464</v>
      </c>
      <c r="B50" s="83" t="s">
        <v>465</v>
      </c>
      <c r="C50" s="89">
        <v>70800</v>
      </c>
      <c r="D50" s="87">
        <v>59800</v>
      </c>
      <c r="E50" s="87">
        <v>84300</v>
      </c>
      <c r="F50" s="91">
        <v>3</v>
      </c>
      <c r="G50" s="86">
        <v>1</v>
      </c>
      <c r="H50" s="86">
        <v>10</v>
      </c>
      <c r="I50" s="91">
        <v>0.6</v>
      </c>
      <c r="J50" s="86">
        <v>0.2</v>
      </c>
      <c r="K50" s="86">
        <v>2</v>
      </c>
    </row>
    <row r="51" spans="1:11">
      <c r="A51" s="524"/>
      <c r="B51" s="83" t="s">
        <v>466</v>
      </c>
      <c r="C51" s="89">
        <v>70800</v>
      </c>
      <c r="D51" s="87">
        <v>59800</v>
      </c>
      <c r="E51" s="87">
        <v>84300</v>
      </c>
      <c r="F51" s="91">
        <v>3</v>
      </c>
      <c r="G51" s="86">
        <v>1</v>
      </c>
      <c r="H51" s="86">
        <v>10</v>
      </c>
      <c r="I51" s="91">
        <v>0.6</v>
      </c>
      <c r="J51" s="86">
        <v>0.2</v>
      </c>
      <c r="K51" s="86">
        <v>2</v>
      </c>
    </row>
    <row r="52" spans="1:11" ht="28.8">
      <c r="A52" s="524"/>
      <c r="B52" s="84" t="s">
        <v>467</v>
      </c>
      <c r="C52" s="89">
        <v>79600</v>
      </c>
      <c r="D52" s="87">
        <v>67100</v>
      </c>
      <c r="E52" s="87">
        <v>95300</v>
      </c>
      <c r="F52" s="91">
        <v>3</v>
      </c>
      <c r="G52" s="86">
        <v>1</v>
      </c>
      <c r="H52" s="86">
        <v>10</v>
      </c>
      <c r="I52" s="91">
        <v>0.6</v>
      </c>
      <c r="J52" s="86">
        <v>0.2</v>
      </c>
      <c r="K52" s="86">
        <v>2</v>
      </c>
    </row>
    <row r="53" spans="1:11">
      <c r="A53" s="524" t="s">
        <v>468</v>
      </c>
      <c r="B53" s="83" t="s">
        <v>469</v>
      </c>
      <c r="C53" s="89">
        <v>54600</v>
      </c>
      <c r="D53" s="87">
        <v>46200</v>
      </c>
      <c r="E53" s="87">
        <v>66000</v>
      </c>
      <c r="F53" s="91">
        <v>1</v>
      </c>
      <c r="G53" s="86">
        <v>0.3</v>
      </c>
      <c r="H53" s="86">
        <v>3</v>
      </c>
      <c r="I53" s="91">
        <v>0.1</v>
      </c>
      <c r="J53" s="86">
        <v>0.03</v>
      </c>
      <c r="K53" s="86">
        <v>0.3</v>
      </c>
    </row>
    <row r="54" spans="1:11" ht="28.8">
      <c r="A54" s="524"/>
      <c r="B54" s="84" t="s">
        <v>470</v>
      </c>
      <c r="C54" s="89">
        <v>54600</v>
      </c>
      <c r="D54" s="87">
        <v>46200</v>
      </c>
      <c r="E54" s="87">
        <v>66000</v>
      </c>
      <c r="F54" s="91">
        <v>1</v>
      </c>
      <c r="G54" s="86">
        <v>0.3</v>
      </c>
      <c r="H54" s="86">
        <v>3</v>
      </c>
      <c r="I54" s="91">
        <v>0.1</v>
      </c>
      <c r="J54" s="86">
        <v>0.03</v>
      </c>
      <c r="K54" s="86">
        <v>0.3</v>
      </c>
    </row>
    <row r="55" spans="1:11">
      <c r="A55" s="524"/>
      <c r="B55" s="83" t="s">
        <v>471</v>
      </c>
      <c r="C55" s="89">
        <v>54600</v>
      </c>
      <c r="D55" s="87">
        <v>46200</v>
      </c>
      <c r="E55" s="87">
        <v>66000</v>
      </c>
      <c r="F55" s="91">
        <v>1</v>
      </c>
      <c r="G55" s="86">
        <v>0.3</v>
      </c>
      <c r="H55" s="86">
        <v>3</v>
      </c>
      <c r="I55" s="91">
        <v>0.1</v>
      </c>
      <c r="J55" s="86">
        <v>0.03</v>
      </c>
      <c r="K55" s="86">
        <v>0.3</v>
      </c>
    </row>
    <row r="56" spans="1:11" ht="43.2">
      <c r="A56" s="81" t="s">
        <v>472</v>
      </c>
      <c r="B56" s="84" t="s">
        <v>473</v>
      </c>
      <c r="C56" s="89">
        <v>100000</v>
      </c>
      <c r="D56" s="87">
        <v>84700</v>
      </c>
      <c r="E56" s="87">
        <v>117000</v>
      </c>
      <c r="F56" s="91">
        <v>30</v>
      </c>
      <c r="G56" s="86">
        <v>10</v>
      </c>
      <c r="H56" s="86">
        <v>100</v>
      </c>
      <c r="I56" s="91">
        <v>4</v>
      </c>
      <c r="J56" s="86">
        <v>1.5</v>
      </c>
      <c r="K56" s="86">
        <v>15</v>
      </c>
    </row>
    <row r="57" spans="1:11">
      <c r="A57" s="520"/>
      <c r="B57" s="520"/>
      <c r="C57" s="528"/>
      <c r="D57" s="528"/>
      <c r="E57" s="528"/>
      <c r="F57" s="528"/>
      <c r="G57" s="528"/>
      <c r="H57" s="528"/>
      <c r="I57" s="528"/>
      <c r="J57" s="528"/>
      <c r="K57" s="528"/>
    </row>
  </sheetData>
  <mergeCells count="42">
    <mergeCell ref="A57:K57"/>
    <mergeCell ref="A34:A35"/>
    <mergeCell ref="A36:B36"/>
    <mergeCell ref="A37:A40"/>
    <mergeCell ref="A41:B41"/>
    <mergeCell ref="A42:B42"/>
    <mergeCell ref="A43:B43"/>
    <mergeCell ref="A44:B44"/>
    <mergeCell ref="A45:B45"/>
    <mergeCell ref="A46:A49"/>
    <mergeCell ref="A50:A52"/>
    <mergeCell ref="A53:A55"/>
    <mergeCell ref="A33:B33"/>
    <mergeCell ref="A19:B19"/>
    <mergeCell ref="A20:B20"/>
    <mergeCell ref="A21:B21"/>
    <mergeCell ref="A22:A25"/>
    <mergeCell ref="A26:B26"/>
    <mergeCell ref="A27:B27"/>
    <mergeCell ref="A28:B28"/>
    <mergeCell ref="A29:B29"/>
    <mergeCell ref="A30:B30"/>
    <mergeCell ref="A31:B31"/>
    <mergeCell ref="A32:B32"/>
    <mergeCell ref="A18:B18"/>
    <mergeCell ref="A5:B5"/>
    <mergeCell ref="A6:B6"/>
    <mergeCell ref="A7:A9"/>
    <mergeCell ref="A10:B10"/>
    <mergeCell ref="A11:B11"/>
    <mergeCell ref="A12:B12"/>
    <mergeCell ref="A13:B13"/>
    <mergeCell ref="A14:B14"/>
    <mergeCell ref="A15:B15"/>
    <mergeCell ref="A16:B16"/>
    <mergeCell ref="A17:B17"/>
    <mergeCell ref="A4:B4"/>
    <mergeCell ref="A1:K1"/>
    <mergeCell ref="A2:B3"/>
    <mergeCell ref="C2:E2"/>
    <mergeCell ref="F2:H2"/>
    <mergeCell ref="I2:K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B2:AF24"/>
  <sheetViews>
    <sheetView showGridLines="0" workbookViewId="0"/>
  </sheetViews>
  <sheetFormatPr baseColWidth="10" defaultColWidth="11.44140625" defaultRowHeight="14.4"/>
  <cols>
    <col min="1" max="1" width="4.33203125" customWidth="1"/>
    <col min="2" max="2" width="29.109375" bestFit="1" customWidth="1"/>
    <col min="3" max="3" width="22.5546875" bestFit="1" customWidth="1"/>
    <col min="4" max="4" width="51.44140625" bestFit="1" customWidth="1"/>
    <col min="5" max="5" width="32.5546875" bestFit="1" customWidth="1"/>
    <col min="6" max="7" width="32.5546875" customWidth="1"/>
    <col min="13" max="13" width="20.33203125" customWidth="1"/>
    <col min="14" max="14" width="12.6640625" customWidth="1"/>
    <col min="15" max="15" width="19.88671875" customWidth="1"/>
    <col min="18" max="18" width="8.33203125" customWidth="1"/>
    <col min="19" max="28" width="16.5546875" customWidth="1"/>
    <col min="29" max="29" width="21.5546875" bestFit="1" customWidth="1"/>
    <col min="30" max="30" width="51" bestFit="1" customWidth="1"/>
    <col min="31" max="31" width="35" bestFit="1" customWidth="1"/>
    <col min="32" max="32" width="35.88671875" customWidth="1"/>
  </cols>
  <sheetData>
    <row r="2" spans="2:32">
      <c r="B2" s="61" t="s">
        <v>343</v>
      </c>
      <c r="C2" s="61" t="s">
        <v>344</v>
      </c>
      <c r="D2" s="61" t="s">
        <v>345</v>
      </c>
      <c r="E2" s="61" t="s">
        <v>346</v>
      </c>
    </row>
    <row r="3" spans="2:32">
      <c r="B3" s="62" t="s">
        <v>347</v>
      </c>
      <c r="C3" s="63">
        <f>'1.4 AR5 CH8  T8.A.1'!H4</f>
        <v>1</v>
      </c>
      <c r="D3" s="64" t="s">
        <v>102</v>
      </c>
      <c r="E3" s="64" t="s">
        <v>348</v>
      </c>
    </row>
    <row r="4" spans="2:32">
      <c r="B4" s="62" t="s">
        <v>156</v>
      </c>
      <c r="C4" s="63">
        <f>'1.4 AR5 CH8  T8.A.1'!H5</f>
        <v>28</v>
      </c>
      <c r="D4" s="64" t="s">
        <v>102</v>
      </c>
      <c r="E4" s="64" t="s">
        <v>348</v>
      </c>
    </row>
    <row r="5" spans="2:32">
      <c r="B5" s="62" t="s">
        <v>349</v>
      </c>
      <c r="C5" s="63">
        <f>'1.4 AR5 CH8  T8.A.1'!H7</f>
        <v>265</v>
      </c>
      <c r="D5" s="64" t="s">
        <v>102</v>
      </c>
      <c r="E5" s="64" t="s">
        <v>348</v>
      </c>
    </row>
    <row r="6" spans="2:32">
      <c r="B6" s="65" t="s">
        <v>350</v>
      </c>
      <c r="C6" s="63">
        <v>4.1867999999999999</v>
      </c>
      <c r="D6" s="413" t="s">
        <v>351</v>
      </c>
      <c r="E6" s="157" t="s">
        <v>352</v>
      </c>
    </row>
    <row r="7" spans="2:32">
      <c r="B7" s="68" t="s">
        <v>353</v>
      </c>
      <c r="C7" s="69">
        <v>1000000000</v>
      </c>
      <c r="D7" s="413" t="s">
        <v>351</v>
      </c>
      <c r="E7" s="413"/>
    </row>
    <row r="8" spans="2:32">
      <c r="B8" s="66" t="s">
        <v>354</v>
      </c>
      <c r="C8" s="67">
        <v>0.95</v>
      </c>
      <c r="D8" s="64" t="s">
        <v>102</v>
      </c>
      <c r="E8" s="64" t="s">
        <v>355</v>
      </c>
    </row>
    <row r="9" spans="2:32">
      <c r="B9" s="66" t="s">
        <v>356</v>
      </c>
      <c r="C9" s="67">
        <v>0.9</v>
      </c>
      <c r="D9" s="64" t="s">
        <v>102</v>
      </c>
      <c r="E9" s="64" t="s">
        <v>357</v>
      </c>
    </row>
    <row r="11" spans="2:32">
      <c r="B11" s="1" t="s">
        <v>358</v>
      </c>
      <c r="H11" s="414"/>
    </row>
    <row r="12" spans="2:32">
      <c r="B12" s="1" t="s">
        <v>99</v>
      </c>
      <c r="H12" s="414"/>
    </row>
    <row r="13" spans="2:32">
      <c r="B13" s="1" t="s">
        <v>476</v>
      </c>
      <c r="H13" s="414"/>
    </row>
    <row r="14" spans="2:32">
      <c r="H14" s="94"/>
      <c r="I14" s="94"/>
      <c r="J14" s="94"/>
      <c r="T14" s="519" t="s">
        <v>360</v>
      </c>
      <c r="U14" s="519"/>
      <c r="V14" s="519"/>
      <c r="W14" s="519"/>
      <c r="X14" s="519" t="s">
        <v>361</v>
      </c>
      <c r="Y14" s="519"/>
      <c r="Z14" s="519"/>
      <c r="AA14" s="519"/>
      <c r="AB14" s="519"/>
      <c r="AC14" s="519"/>
    </row>
    <row r="15" spans="2:32" ht="28.8">
      <c r="B15" s="71" t="s">
        <v>362</v>
      </c>
      <c r="C15" s="71" t="s">
        <v>363</v>
      </c>
      <c r="D15" s="71" t="s">
        <v>364</v>
      </c>
      <c r="E15" s="71" t="s">
        <v>365</v>
      </c>
      <c r="F15" s="71" t="s">
        <v>93</v>
      </c>
      <c r="G15" s="71" t="s">
        <v>477</v>
      </c>
      <c r="H15" s="74" t="s">
        <v>367</v>
      </c>
      <c r="I15" s="74" t="s">
        <v>368</v>
      </c>
      <c r="J15" s="74" t="s">
        <v>369</v>
      </c>
      <c r="K15" s="75" t="s">
        <v>370</v>
      </c>
      <c r="L15" s="75" t="s">
        <v>345</v>
      </c>
      <c r="M15" s="75" t="s">
        <v>371</v>
      </c>
      <c r="N15" s="75" t="s">
        <v>372</v>
      </c>
      <c r="O15" s="75" t="s">
        <v>373</v>
      </c>
      <c r="P15" s="75" t="s">
        <v>374</v>
      </c>
      <c r="Q15" s="71" t="s">
        <v>375</v>
      </c>
      <c r="R15" s="71" t="s">
        <v>376</v>
      </c>
      <c r="S15" s="71" t="s">
        <v>345</v>
      </c>
      <c r="T15" s="71" t="s">
        <v>377</v>
      </c>
      <c r="U15" s="71" t="s">
        <v>378</v>
      </c>
      <c r="V15" s="71" t="s">
        <v>379</v>
      </c>
      <c r="W15" s="71" t="s">
        <v>345</v>
      </c>
      <c r="X15" s="98" t="s">
        <v>377</v>
      </c>
      <c r="Y15" s="98" t="s">
        <v>378</v>
      </c>
      <c r="Z15" s="98" t="s">
        <v>379</v>
      </c>
      <c r="AA15" s="98" t="s">
        <v>345</v>
      </c>
      <c r="AB15" s="98" t="s">
        <v>380</v>
      </c>
      <c r="AC15" s="98" t="s">
        <v>345</v>
      </c>
      <c r="AD15" s="97" t="s">
        <v>96</v>
      </c>
      <c r="AE15" s="502" t="s">
        <v>97</v>
      </c>
      <c r="AF15" s="99" t="s">
        <v>381</v>
      </c>
    </row>
    <row r="16" spans="2:32">
      <c r="B16" s="402" t="s">
        <v>122</v>
      </c>
      <c r="C16" s="402" t="s">
        <v>415</v>
      </c>
      <c r="D16" s="72" t="s">
        <v>416</v>
      </c>
      <c r="E16" s="72" t="s">
        <v>416</v>
      </c>
      <c r="F16" s="402" t="s">
        <v>103</v>
      </c>
      <c r="G16" s="402" t="s">
        <v>383</v>
      </c>
      <c r="H16" s="338">
        <f>'1.2 V2 CH3 T3.2.1'!$C$5</f>
        <v>74100</v>
      </c>
      <c r="I16" s="345">
        <f>'1.2 V2 CH3 T3.2.2'!$C$8</f>
        <v>3.9</v>
      </c>
      <c r="J16" s="345">
        <f>'1.2 V2 CH3 T3.2.2'!$F$8</f>
        <v>3.9</v>
      </c>
      <c r="K16" s="337">
        <f>'1.1 y 1.2CUADROA2 - BNE 2020-21'!$C$20</f>
        <v>0.84</v>
      </c>
      <c r="L16" s="403" t="s">
        <v>384</v>
      </c>
      <c r="M16" s="359">
        <f>'1.1 y 1.2CUADROA2 - BNE 2020-21'!$D$20</f>
        <v>10900</v>
      </c>
      <c r="N16" s="403" t="s">
        <v>400</v>
      </c>
      <c r="O16" s="102">
        <f t="shared" ref="O16:O23" si="0">IF(G16="Gaseoso", M16*$C$9, M16*$C$8)</f>
        <v>10355</v>
      </c>
      <c r="P16" s="403" t="str">
        <f t="shared" ref="P16:P23" si="1">N16</f>
        <v>kcal/kg</v>
      </c>
      <c r="Q16" s="403" t="s">
        <v>385</v>
      </c>
      <c r="R16" s="117">
        <f t="shared" ref="R16:R24" si="2">O16*$C$6/$C$7*IF(Q16="Sí",K16*1000,1)</f>
        <v>3.6417623759999997E-2</v>
      </c>
      <c r="S16" s="103" t="str">
        <f>IF(Q16="Sí","TJ/m3", IF(N16="kcal/m3", "TJ/m3","TJ/kg"))</f>
        <v>TJ/m3</v>
      </c>
      <c r="T16" s="103">
        <f t="shared" ref="T16:V17" si="3">H16*$R16</f>
        <v>2698.5459206159999</v>
      </c>
      <c r="U16" s="103">
        <f>I16*$R16</f>
        <v>0.14202873266399998</v>
      </c>
      <c r="V16" s="103">
        <f t="shared" si="3"/>
        <v>0.14202873266399998</v>
      </c>
      <c r="W16" s="118" t="str">
        <f>IF(S16="TJ/m3", "kg GEI/m3", "kg GEI/kg")</f>
        <v>kg GEI/m3</v>
      </c>
      <c r="X16" s="116">
        <f>$C$3*T16</f>
        <v>2698.5459206159999</v>
      </c>
      <c r="Y16" s="116">
        <f>$C$4*U16</f>
        <v>3.9768045145919997</v>
      </c>
      <c r="Z16" s="116">
        <f>$C$5*V16</f>
        <v>37.637614155959994</v>
      </c>
      <c r="AA16" s="115" t="str">
        <f>IF(S16="TJ/m3", "kg CO2e/m3", "kg CO2e/kg")</f>
        <v>kg CO2e/m3</v>
      </c>
      <c r="AB16" s="415">
        <f>SUM(X16:Z16)*IF(AND(F16="gramos",S16="TJ/m3")=TRUE(),1/(K16*1000000),
IF(AND(F16="gramos",S16="TJ/kg")=TRUE(),1/(1000),
IF(AND(F16="kilogramos",S16="TJ/m3")=TRUE(),1/(K16*1000),
IF(AND(F16="toneladas",S16="TJ/m3")=TRUE(),1/K16,
IF(AND(F16="toneladas",S16="TJ/kg")=TRUE(),1000,
IF(AND(S16="TJ/m3",F16="litros")=TRUE(),1/1000,
IF(AND(S16="TJ/kg",F16="litros")=TRUE(),K16/1000,1)))))))</f>
        <v>2740.1603392865518</v>
      </c>
      <c r="AC16" s="115" t="str">
        <f>"kgCO2e/"&amp;F16</f>
        <v>kgCO2e/metros cúbicos</v>
      </c>
      <c r="AD16" s="408" t="s">
        <v>478</v>
      </c>
      <c r="AE16" s="96" t="s">
        <v>387</v>
      </c>
      <c r="AF16" s="402" t="s">
        <v>102</v>
      </c>
    </row>
    <row r="17" spans="2:32">
      <c r="B17" s="402" t="s">
        <v>122</v>
      </c>
      <c r="C17" s="402" t="s">
        <v>415</v>
      </c>
      <c r="D17" s="72" t="s">
        <v>416</v>
      </c>
      <c r="E17" s="72" t="s">
        <v>416</v>
      </c>
      <c r="F17" s="402" t="s">
        <v>104</v>
      </c>
      <c r="G17" s="402" t="s">
        <v>383</v>
      </c>
      <c r="H17" s="338">
        <f>'1.2 V2 CH3 T3.2.1'!$C$5</f>
        <v>74100</v>
      </c>
      <c r="I17" s="345">
        <f>'1.2 V2 CH3 T3.2.2'!$C$8</f>
        <v>3.9</v>
      </c>
      <c r="J17" s="345">
        <f>'1.2 V2 CH3 T3.2.2'!$F$8</f>
        <v>3.9</v>
      </c>
      <c r="K17" s="337">
        <f>'1.1 y 1.2CUADROA2 - BNE 2020-21'!$C$20</f>
        <v>0.84</v>
      </c>
      <c r="L17" s="403" t="s">
        <v>384</v>
      </c>
      <c r="M17" s="359">
        <f>'1.1 y 1.2CUADROA2 - BNE 2020-21'!$D$20</f>
        <v>10900</v>
      </c>
      <c r="N17" s="403" t="s">
        <v>400</v>
      </c>
      <c r="O17" s="102">
        <f t="shared" ref="O17" si="4">IF(G17="Gaseoso", M17*$C$9, M17*$C$8)</f>
        <v>10355</v>
      </c>
      <c r="P17" s="403" t="str">
        <f t="shared" ref="P17" si="5">N17</f>
        <v>kcal/kg</v>
      </c>
      <c r="Q17" s="403" t="s">
        <v>385</v>
      </c>
      <c r="R17" s="117">
        <f t="shared" si="2"/>
        <v>3.6417623759999997E-2</v>
      </c>
      <c r="S17" s="103" t="str">
        <f>IF(Q17="Sí","TJ/m3", IF(N17="kcal/m3", "TJ/m3","TJ/kg"))</f>
        <v>TJ/m3</v>
      </c>
      <c r="T17" s="103">
        <f t="shared" si="3"/>
        <v>2698.5459206159999</v>
      </c>
      <c r="U17" s="103">
        <f t="shared" si="3"/>
        <v>0.14202873266399998</v>
      </c>
      <c r="V17" s="103">
        <f t="shared" si="3"/>
        <v>0.14202873266399998</v>
      </c>
      <c r="W17" s="118" t="str">
        <f>IF(S17="TJ/m3", "kg GEI/m3", "kg GEI/kg")</f>
        <v>kg GEI/m3</v>
      </c>
      <c r="X17" s="116">
        <f>$C$3*T17</f>
        <v>2698.5459206159999</v>
      </c>
      <c r="Y17" s="116">
        <f>$C$4*U17</f>
        <v>3.9768045145919997</v>
      </c>
      <c r="Z17" s="116">
        <f>$C$5*V17</f>
        <v>37.637614155959994</v>
      </c>
      <c r="AA17" s="115" t="str">
        <f>IF(S17="TJ/m3", "kg CO2e/m3", "kg CO2e/kg")</f>
        <v>kg CO2e/m3</v>
      </c>
      <c r="AB17" s="415">
        <f t="shared" ref="AB17:AB24" si="6">SUM(X17:Z17)*IF(AND(F17="gramos",S17="TJ/m3")=TRUE(),1/(K17*1000000),
IF(AND(F17="gramos",S17="TJ/kg")=TRUE(),1/(1000),
IF(AND(F17="kilogramos",S17="TJ/m3")=TRUE(),1/(K17*1000),
IF(AND(F17="toneladas",S17="TJ/m3")=TRUE(),1/K17,
IF(AND(F17="toneladas",S17="TJ/kg")=TRUE(),1000,
IF(AND(S17="TJ/m3",F17="litros")=TRUE(),1/1000,
IF(AND(S17="TJ/kg",F17="litros")=TRUE(),K17/1000,1)))))))</f>
        <v>2.7401603392865517</v>
      </c>
      <c r="AC17" s="115" t="str">
        <f t="shared" ref="AC17:AC24" si="7">"kgCO2e/"&amp;F17</f>
        <v>kgCO2e/litros</v>
      </c>
      <c r="AD17" s="79" t="s">
        <v>478</v>
      </c>
      <c r="AE17" s="96" t="s">
        <v>387</v>
      </c>
      <c r="AF17" s="402" t="s">
        <v>102</v>
      </c>
    </row>
    <row r="18" spans="2:32">
      <c r="B18" s="72" t="s">
        <v>123</v>
      </c>
      <c r="C18" s="72" t="s">
        <v>407</v>
      </c>
      <c r="D18" s="402" t="s">
        <v>408</v>
      </c>
      <c r="E18" s="402" t="s">
        <v>409</v>
      </c>
      <c r="F18" s="402" t="s">
        <v>103</v>
      </c>
      <c r="G18" s="402" t="s">
        <v>399</v>
      </c>
      <c r="H18" s="338">
        <f>'1.2 V2 CH3 T3.2.1'!$C$6</f>
        <v>63100</v>
      </c>
      <c r="I18" s="345">
        <f>'1.2 V2 CH3 T3.2.2'!$C$10</f>
        <v>62</v>
      </c>
      <c r="J18" s="345">
        <f>'1.2 V2 CH3 T3.2.2'!$F$10</f>
        <v>0.2</v>
      </c>
      <c r="K18" s="403">
        <f>'1.1 y 1.2CUADROA2 - BNE 2020-21'!$C$15</f>
        <v>0.55000000000000004</v>
      </c>
      <c r="L18" s="403" t="s">
        <v>384</v>
      </c>
      <c r="M18" s="359">
        <f>'1.1 y 1.2CUADROA2 - BNE 2020-21'!$D$15</f>
        <v>12100</v>
      </c>
      <c r="N18" s="403" t="s">
        <v>400</v>
      </c>
      <c r="O18" s="102">
        <f t="shared" si="0"/>
        <v>10890</v>
      </c>
      <c r="P18" s="403" t="str">
        <f t="shared" si="1"/>
        <v>kcal/kg</v>
      </c>
      <c r="Q18" s="403" t="s">
        <v>385</v>
      </c>
      <c r="R18" s="117">
        <f t="shared" si="2"/>
        <v>2.5076838600000002E-2</v>
      </c>
      <c r="S18" s="103" t="str">
        <f t="shared" ref="S18:S23" si="8">IF(Q18="Sí","TJ/m3", IF(N18="kcal/m3", "TJ/m3","TJ/kg"))</f>
        <v>TJ/m3</v>
      </c>
      <c r="T18" s="103">
        <f t="shared" ref="T18:T23" si="9">H18*$R18</f>
        <v>1582.3485156600002</v>
      </c>
      <c r="U18" s="103">
        <f t="shared" ref="U18:U23" si="10">I18*$R18</f>
        <v>1.5547639932000001</v>
      </c>
      <c r="V18" s="103">
        <f t="shared" ref="V18:V23" si="11">J18*$R18</f>
        <v>5.0153677200000003E-3</v>
      </c>
      <c r="W18" s="118" t="str">
        <f t="shared" ref="W18:W23" si="12">IF(S18="TJ/m3", "kg GEI/m3", "kg GEI/kg")</f>
        <v>kg GEI/m3</v>
      </c>
      <c r="X18" s="116">
        <f t="shared" ref="X18:X23" si="13">$C$3*T18</f>
        <v>1582.3485156600002</v>
      </c>
      <c r="Y18" s="116">
        <f t="shared" ref="Y18:Y23" si="14">$C$4*U18</f>
        <v>43.533391809600005</v>
      </c>
      <c r="Z18" s="116">
        <f t="shared" ref="Z18:Z23" si="15">$C$5*V18</f>
        <v>1.3290724458000001</v>
      </c>
      <c r="AA18" s="115" t="str">
        <f t="shared" ref="AA18:AA23" si="16">IF(S18="TJ/m3", "kg CO2e/m3", "kg CO2e/kg")</f>
        <v>kg CO2e/m3</v>
      </c>
      <c r="AB18" s="415">
        <f t="shared" si="6"/>
        <v>1627.2109799154002</v>
      </c>
      <c r="AC18" s="115" t="str">
        <f t="shared" si="7"/>
        <v>kgCO2e/metros cúbicos</v>
      </c>
      <c r="AD18" s="79" t="s">
        <v>478</v>
      </c>
      <c r="AE18" s="96" t="s">
        <v>387</v>
      </c>
      <c r="AF18" s="402" t="s">
        <v>102</v>
      </c>
    </row>
    <row r="19" spans="2:32">
      <c r="B19" s="72" t="s">
        <v>123</v>
      </c>
      <c r="C19" s="72" t="s">
        <v>407</v>
      </c>
      <c r="D19" s="402" t="s">
        <v>408</v>
      </c>
      <c r="E19" s="402" t="s">
        <v>409</v>
      </c>
      <c r="F19" s="402" t="s">
        <v>104</v>
      </c>
      <c r="G19" s="402" t="s">
        <v>399</v>
      </c>
      <c r="H19" s="338">
        <f>'1.2 V2 CH3 T3.2.1'!$C$6</f>
        <v>63100</v>
      </c>
      <c r="I19" s="345">
        <f>'1.2 V2 CH3 T3.2.2'!$C$10</f>
        <v>62</v>
      </c>
      <c r="J19" s="345">
        <f>'1.2 V2 CH3 T3.2.2'!$F$10</f>
        <v>0.2</v>
      </c>
      <c r="K19" s="403">
        <f>'1.1 y 1.2CUADROA2 - BNE 2020-21'!$C$15</f>
        <v>0.55000000000000004</v>
      </c>
      <c r="L19" s="403" t="s">
        <v>384</v>
      </c>
      <c r="M19" s="359">
        <f>'1.1 y 1.2CUADROA2 - BNE 2020-21'!$D$15</f>
        <v>12100</v>
      </c>
      <c r="N19" s="403" t="s">
        <v>400</v>
      </c>
      <c r="O19" s="102">
        <f t="shared" ref="O19" si="17">IF(G19="Gaseoso", M19*$C$9, M19*$C$8)</f>
        <v>10890</v>
      </c>
      <c r="P19" s="403" t="str">
        <f t="shared" ref="P19" si="18">N19</f>
        <v>kcal/kg</v>
      </c>
      <c r="Q19" s="403" t="s">
        <v>385</v>
      </c>
      <c r="R19" s="117">
        <f t="shared" si="2"/>
        <v>2.5076838600000002E-2</v>
      </c>
      <c r="S19" s="103" t="str">
        <f t="shared" ref="S19" si="19">IF(Q19="Sí","TJ/m3", IF(N19="kcal/m3", "TJ/m3","TJ/kg"))</f>
        <v>TJ/m3</v>
      </c>
      <c r="T19" s="103">
        <f t="shared" ref="T19" si="20">H19*$R19</f>
        <v>1582.3485156600002</v>
      </c>
      <c r="U19" s="103">
        <f t="shared" ref="U19" si="21">I19*$R19</f>
        <v>1.5547639932000001</v>
      </c>
      <c r="V19" s="103">
        <f t="shared" ref="V19" si="22">J19*$R19</f>
        <v>5.0153677200000003E-3</v>
      </c>
      <c r="W19" s="118" t="str">
        <f t="shared" ref="W19" si="23">IF(S19="TJ/m3", "kg GEI/m3", "kg GEI/kg")</f>
        <v>kg GEI/m3</v>
      </c>
      <c r="X19" s="116">
        <f t="shared" ref="X19" si="24">$C$3*T19</f>
        <v>1582.3485156600002</v>
      </c>
      <c r="Y19" s="116">
        <f t="shared" ref="Y19" si="25">$C$4*U19</f>
        <v>43.533391809600005</v>
      </c>
      <c r="Z19" s="116">
        <f t="shared" ref="Z19" si="26">$C$5*V19</f>
        <v>1.3290724458000001</v>
      </c>
      <c r="AA19" s="115" t="str">
        <f t="shared" ref="AA19" si="27">IF(S19="TJ/m3", "kg CO2e/m3", "kg CO2e/kg")</f>
        <v>kg CO2e/m3</v>
      </c>
      <c r="AB19" s="415">
        <f t="shared" si="6"/>
        <v>1.6272109799154002</v>
      </c>
      <c r="AC19" s="115" t="str">
        <f t="shared" si="7"/>
        <v>kgCO2e/litros</v>
      </c>
      <c r="AD19" s="79" t="s">
        <v>478</v>
      </c>
      <c r="AE19" s="96" t="s">
        <v>387</v>
      </c>
      <c r="AF19" s="402" t="s">
        <v>102</v>
      </c>
    </row>
    <row r="20" spans="2:32">
      <c r="B20" s="72" t="s">
        <v>115</v>
      </c>
      <c r="C20" s="72" t="s">
        <v>402</v>
      </c>
      <c r="D20" s="402" t="s">
        <v>115</v>
      </c>
      <c r="E20" s="402" t="s">
        <v>403</v>
      </c>
      <c r="F20" s="402" t="s">
        <v>103</v>
      </c>
      <c r="G20" s="402" t="s">
        <v>399</v>
      </c>
      <c r="H20" s="338">
        <f>'1.2 V2 CH3 T3.2.1'!$C$9</f>
        <v>56100</v>
      </c>
      <c r="I20" s="345">
        <f>'1.2 V2 CH3 T3.2.2'!$C$9</f>
        <v>92</v>
      </c>
      <c r="J20" s="345">
        <f>'1.2 V2 CH3 T3.2.2'!$F$9</f>
        <v>3</v>
      </c>
      <c r="K20" s="109"/>
      <c r="L20" s="403"/>
      <c r="M20" s="359">
        <f>'1.1 y 1.2CUADROA2 - BNE 2020-21'!$D$21</f>
        <v>9341</v>
      </c>
      <c r="N20" s="403" t="s">
        <v>479</v>
      </c>
      <c r="O20" s="102">
        <f t="shared" si="0"/>
        <v>8406.9</v>
      </c>
      <c r="P20" s="403" t="str">
        <f t="shared" si="1"/>
        <v>kcal/m3</v>
      </c>
      <c r="Q20" s="403" t="s">
        <v>392</v>
      </c>
      <c r="R20" s="117">
        <f t="shared" si="2"/>
        <v>3.5198008920000004E-5</v>
      </c>
      <c r="S20" s="103" t="str">
        <f t="shared" si="8"/>
        <v>TJ/m3</v>
      </c>
      <c r="T20" s="103">
        <f t="shared" si="9"/>
        <v>1.9746083004120003</v>
      </c>
      <c r="U20" s="103">
        <f t="shared" si="10"/>
        <v>3.2382168206400003E-3</v>
      </c>
      <c r="V20" s="103">
        <f t="shared" si="11"/>
        <v>1.0559402676000001E-4</v>
      </c>
      <c r="W20" s="118" t="str">
        <f t="shared" si="12"/>
        <v>kg GEI/m3</v>
      </c>
      <c r="X20" s="409">
        <f t="shared" si="13"/>
        <v>1.9746083004120003</v>
      </c>
      <c r="Y20" s="409">
        <f t="shared" si="14"/>
        <v>9.0670070977920014E-2</v>
      </c>
      <c r="Z20" s="409">
        <f t="shared" si="15"/>
        <v>2.7982417091400001E-2</v>
      </c>
      <c r="AA20" s="115" t="str">
        <f t="shared" si="16"/>
        <v>kg CO2e/m3</v>
      </c>
      <c r="AB20" s="415">
        <f t="shared" si="6"/>
        <v>2.0932607884813201</v>
      </c>
      <c r="AC20" s="115" t="str">
        <f t="shared" si="7"/>
        <v>kgCO2e/metros cúbicos</v>
      </c>
      <c r="AD20" s="79" t="s">
        <v>478</v>
      </c>
      <c r="AE20" s="96" t="s">
        <v>387</v>
      </c>
      <c r="AF20" s="402" t="s">
        <v>102</v>
      </c>
    </row>
    <row r="21" spans="2:32">
      <c r="B21" s="100" t="s">
        <v>110</v>
      </c>
      <c r="C21" s="416" t="s">
        <v>395</v>
      </c>
      <c r="D21" s="416" t="s">
        <v>396</v>
      </c>
      <c r="E21" s="416" t="s">
        <v>397</v>
      </c>
      <c r="F21" s="416" t="s">
        <v>103</v>
      </c>
      <c r="G21" s="416" t="s">
        <v>383</v>
      </c>
      <c r="H21" s="360">
        <f>'1.2 V2 CH3 T3.2.1'!$C$4</f>
        <v>69300</v>
      </c>
      <c r="I21" s="347">
        <f>'1.2 V2 CH3 T3.2.2'!$C$6</f>
        <v>25</v>
      </c>
      <c r="J21" s="347">
        <f>'1.2 V2 CH3 T3.2.2'!$F$6</f>
        <v>8</v>
      </c>
      <c r="K21" s="417">
        <f>'1.1 y 1.2CUADROA2 - BNE 2020-21'!$C$16</f>
        <v>0.73</v>
      </c>
      <c r="L21" s="417" t="s">
        <v>384</v>
      </c>
      <c r="M21" s="361">
        <f>'1.1 y 1.2CUADROA2 - BNE 2020-21'!$D$16</f>
        <v>11200</v>
      </c>
      <c r="N21" s="417" t="s">
        <v>400</v>
      </c>
      <c r="O21" s="137">
        <f t="shared" si="0"/>
        <v>10640</v>
      </c>
      <c r="P21" s="417" t="str">
        <f t="shared" si="1"/>
        <v>kcal/kg</v>
      </c>
      <c r="Q21" s="417" t="s">
        <v>385</v>
      </c>
      <c r="R21" s="117">
        <f t="shared" si="2"/>
        <v>3.2519712959999995E-2</v>
      </c>
      <c r="S21" s="138" t="str">
        <f t="shared" si="8"/>
        <v>TJ/m3</v>
      </c>
      <c r="T21" s="138">
        <f t="shared" si="9"/>
        <v>2253.6161081279997</v>
      </c>
      <c r="U21" s="138">
        <f t="shared" si="10"/>
        <v>0.81299282399999984</v>
      </c>
      <c r="V21" s="138">
        <f t="shared" si="11"/>
        <v>0.26015770367999996</v>
      </c>
      <c r="W21" s="139" t="str">
        <f t="shared" si="12"/>
        <v>kg GEI/m3</v>
      </c>
      <c r="X21" s="140">
        <f t="shared" si="13"/>
        <v>2253.6161081279997</v>
      </c>
      <c r="Y21" s="140">
        <f t="shared" si="14"/>
        <v>22.763799071999994</v>
      </c>
      <c r="Z21" s="140">
        <f t="shared" si="15"/>
        <v>68.941791475199992</v>
      </c>
      <c r="AA21" s="141" t="str">
        <f t="shared" si="16"/>
        <v>kg CO2e/m3</v>
      </c>
      <c r="AB21" s="415">
        <f t="shared" si="6"/>
        <v>2345.3216986751995</v>
      </c>
      <c r="AC21" s="115" t="str">
        <f t="shared" si="7"/>
        <v>kgCO2e/metros cúbicos</v>
      </c>
      <c r="AD21" s="85" t="s">
        <v>478</v>
      </c>
      <c r="AE21" s="330" t="s">
        <v>387</v>
      </c>
      <c r="AF21" s="402" t="s">
        <v>102</v>
      </c>
    </row>
    <row r="22" spans="2:32">
      <c r="B22" s="100" t="s">
        <v>110</v>
      </c>
      <c r="C22" s="416" t="s">
        <v>395</v>
      </c>
      <c r="D22" s="416" t="s">
        <v>396</v>
      </c>
      <c r="E22" s="416" t="s">
        <v>397</v>
      </c>
      <c r="F22" s="416" t="s">
        <v>104</v>
      </c>
      <c r="G22" s="416" t="s">
        <v>383</v>
      </c>
      <c r="H22" s="360">
        <f>'1.2 V2 CH3 T3.2.1'!$C$4</f>
        <v>69300</v>
      </c>
      <c r="I22" s="347">
        <f>'1.2 V2 CH3 T3.2.2'!$C$6</f>
        <v>25</v>
      </c>
      <c r="J22" s="347">
        <f>'1.2 V2 CH3 T3.2.2'!$F$6</f>
        <v>8</v>
      </c>
      <c r="K22" s="417">
        <f>'1.1 y 1.2CUADROA2 - BNE 2020-21'!$C$16</f>
        <v>0.73</v>
      </c>
      <c r="L22" s="417" t="s">
        <v>384</v>
      </c>
      <c r="M22" s="361">
        <f>'1.1 y 1.2CUADROA2 - BNE 2020-21'!$D$16</f>
        <v>11200</v>
      </c>
      <c r="N22" s="417" t="s">
        <v>400</v>
      </c>
      <c r="O22" s="137">
        <f t="shared" ref="O22" si="28">IF(G22="Gaseoso", M22*$C$9, M22*$C$8)</f>
        <v>10640</v>
      </c>
      <c r="P22" s="417" t="str">
        <f t="shared" ref="P22" si="29">N22</f>
        <v>kcal/kg</v>
      </c>
      <c r="Q22" s="417" t="s">
        <v>385</v>
      </c>
      <c r="R22" s="117">
        <f t="shared" si="2"/>
        <v>3.2519712959999995E-2</v>
      </c>
      <c r="S22" s="138" t="str">
        <f t="shared" ref="S22" si="30">IF(Q22="Sí","TJ/m3", IF(N22="kcal/m3", "TJ/m3","TJ/kg"))</f>
        <v>TJ/m3</v>
      </c>
      <c r="T22" s="138">
        <f t="shared" ref="T22" si="31">H22*$R22</f>
        <v>2253.6161081279997</v>
      </c>
      <c r="U22" s="138">
        <f t="shared" ref="U22" si="32">I22*$R22</f>
        <v>0.81299282399999984</v>
      </c>
      <c r="V22" s="138">
        <f t="shared" ref="V22" si="33">J22*$R22</f>
        <v>0.26015770367999996</v>
      </c>
      <c r="W22" s="139" t="str">
        <f t="shared" ref="W22" si="34">IF(S22="TJ/m3", "kg GEI/m3", "kg GEI/kg")</f>
        <v>kg GEI/m3</v>
      </c>
      <c r="X22" s="140">
        <f t="shared" ref="X22" si="35">$C$3*T22</f>
        <v>2253.6161081279997</v>
      </c>
      <c r="Y22" s="140">
        <f t="shared" ref="Y22" si="36">$C$4*U22</f>
        <v>22.763799071999994</v>
      </c>
      <c r="Z22" s="140">
        <f t="shared" ref="Z22" si="37">$C$5*V22</f>
        <v>68.941791475199992</v>
      </c>
      <c r="AA22" s="141" t="str">
        <f t="shared" ref="AA22" si="38">IF(S22="TJ/m3", "kg CO2e/m3", "kg CO2e/kg")</f>
        <v>kg CO2e/m3</v>
      </c>
      <c r="AB22" s="415">
        <f t="shared" si="6"/>
        <v>2.3453216986751997</v>
      </c>
      <c r="AC22" s="115" t="str">
        <f t="shared" si="7"/>
        <v>kgCO2e/litros</v>
      </c>
      <c r="AD22" s="85" t="s">
        <v>478</v>
      </c>
      <c r="AE22" s="330" t="s">
        <v>387</v>
      </c>
      <c r="AF22" s="402" t="s">
        <v>102</v>
      </c>
    </row>
    <row r="23" spans="2:32">
      <c r="B23" s="79" t="s">
        <v>116</v>
      </c>
      <c r="C23" s="79" t="s">
        <v>116</v>
      </c>
      <c r="D23" s="408" t="s">
        <v>410</v>
      </c>
      <c r="E23" s="408" t="s">
        <v>411</v>
      </c>
      <c r="F23" s="408" t="s">
        <v>103</v>
      </c>
      <c r="G23" s="408" t="s">
        <v>383</v>
      </c>
      <c r="H23" s="362">
        <f>'1.2 V2 CH3 T3.2.1'!$C$7</f>
        <v>71900</v>
      </c>
      <c r="I23" s="136">
        <f>'V2 CH2 T2.3'!F$11</f>
        <v>3</v>
      </c>
      <c r="J23" s="136">
        <f>'V2 CH2 T2.3'!I$11</f>
        <v>0.6</v>
      </c>
      <c r="K23" s="418">
        <f>'1.1 y 1.2CUADROA2 - BNE 2020-21'!$C$19</f>
        <v>0.81</v>
      </c>
      <c r="L23" s="418" t="s">
        <v>384</v>
      </c>
      <c r="M23" s="363">
        <f>'1.1 y 1.2CUADROA2 - BNE 2020-21'!$D$19</f>
        <v>11100</v>
      </c>
      <c r="N23" s="418" t="s">
        <v>400</v>
      </c>
      <c r="O23" s="134">
        <f t="shared" si="0"/>
        <v>10545</v>
      </c>
      <c r="P23" s="418" t="str">
        <f t="shared" si="1"/>
        <v>kcal/kg</v>
      </c>
      <c r="Q23" s="418" t="s">
        <v>385</v>
      </c>
      <c r="R23" s="117">
        <f t="shared" si="2"/>
        <v>3.5761342859999996E-2</v>
      </c>
      <c r="S23" s="116" t="str">
        <f t="shared" si="8"/>
        <v>TJ/m3</v>
      </c>
      <c r="T23" s="116">
        <f t="shared" si="9"/>
        <v>2571.2405516339995</v>
      </c>
      <c r="U23" s="116">
        <f t="shared" si="10"/>
        <v>0.10728402858</v>
      </c>
      <c r="V23" s="116">
        <f t="shared" si="11"/>
        <v>2.1456805715999998E-2</v>
      </c>
      <c r="W23" s="135" t="str">
        <f t="shared" si="12"/>
        <v>kg GEI/m3</v>
      </c>
      <c r="X23" s="116">
        <f t="shared" si="13"/>
        <v>2571.2405516339995</v>
      </c>
      <c r="Y23" s="116">
        <f t="shared" si="14"/>
        <v>3.00395280024</v>
      </c>
      <c r="Z23" s="116">
        <f t="shared" si="15"/>
        <v>5.6860535147399993</v>
      </c>
      <c r="AA23" s="115" t="str">
        <f t="shared" si="16"/>
        <v>kg CO2e/m3</v>
      </c>
      <c r="AB23" s="415">
        <f t="shared" si="6"/>
        <v>2579.9305579489792</v>
      </c>
      <c r="AC23" s="115" t="str">
        <f t="shared" si="7"/>
        <v>kgCO2e/metros cúbicos</v>
      </c>
      <c r="AD23" s="79" t="s">
        <v>478</v>
      </c>
      <c r="AE23" s="82" t="s">
        <v>387</v>
      </c>
      <c r="AF23" s="402" t="s">
        <v>480</v>
      </c>
    </row>
    <row r="24" spans="2:32">
      <c r="B24" s="79" t="s">
        <v>116</v>
      </c>
      <c r="C24" s="79" t="s">
        <v>116</v>
      </c>
      <c r="D24" s="408" t="s">
        <v>410</v>
      </c>
      <c r="E24" s="408" t="s">
        <v>411</v>
      </c>
      <c r="F24" s="408" t="s">
        <v>104</v>
      </c>
      <c r="G24" s="408" t="s">
        <v>383</v>
      </c>
      <c r="H24" s="362">
        <f>'1.2 V2 CH3 T3.2.1'!$C$7</f>
        <v>71900</v>
      </c>
      <c r="I24" s="136">
        <f>'V2 CH2 T2.3'!F$11</f>
        <v>3</v>
      </c>
      <c r="J24" s="136">
        <f>'V2 CH2 T2.3'!I$11</f>
        <v>0.6</v>
      </c>
      <c r="K24" s="418">
        <f>'1.1 y 1.2CUADROA2 - BNE 2020-21'!$C$19</f>
        <v>0.81</v>
      </c>
      <c r="L24" s="418" t="s">
        <v>384</v>
      </c>
      <c r="M24" s="363">
        <f>'1.1 y 1.2CUADROA2 - BNE 2020-21'!$D$19</f>
        <v>11100</v>
      </c>
      <c r="N24" s="418" t="s">
        <v>400</v>
      </c>
      <c r="O24" s="134">
        <f t="shared" ref="O24" si="39">IF(G24="Gaseoso", M24*$C$9, M24*$C$8)</f>
        <v>10545</v>
      </c>
      <c r="P24" s="418" t="str">
        <f t="shared" ref="P24" si="40">N24</f>
        <v>kcal/kg</v>
      </c>
      <c r="Q24" s="418" t="s">
        <v>385</v>
      </c>
      <c r="R24" s="117">
        <f t="shared" si="2"/>
        <v>3.5761342859999996E-2</v>
      </c>
      <c r="S24" s="116" t="str">
        <f t="shared" ref="S24" si="41">IF(Q24="Sí","TJ/m3", IF(N24="kcal/m3", "TJ/m3","TJ/kg"))</f>
        <v>TJ/m3</v>
      </c>
      <c r="T24" s="116">
        <f t="shared" ref="T24" si="42">H24*$R24</f>
        <v>2571.2405516339995</v>
      </c>
      <c r="U24" s="116">
        <f t="shared" ref="U24" si="43">I24*$R24</f>
        <v>0.10728402858</v>
      </c>
      <c r="V24" s="116">
        <f t="shared" ref="V24" si="44">J24*$R24</f>
        <v>2.1456805715999998E-2</v>
      </c>
      <c r="W24" s="135" t="str">
        <f t="shared" ref="W24" si="45">IF(S24="TJ/m3", "kg GEI/m3", "kg GEI/kg")</f>
        <v>kg GEI/m3</v>
      </c>
      <c r="X24" s="116">
        <f t="shared" ref="X24" si="46">$C$3*T24</f>
        <v>2571.2405516339995</v>
      </c>
      <c r="Y24" s="116">
        <f t="shared" ref="Y24" si="47">$C$4*U24</f>
        <v>3.00395280024</v>
      </c>
      <c r="Z24" s="116">
        <f t="shared" ref="Z24" si="48">$C$5*V24</f>
        <v>5.6860535147399993</v>
      </c>
      <c r="AA24" s="115" t="str">
        <f t="shared" ref="AA24" si="49">IF(S24="TJ/m3", "kg CO2e/m3", "kg CO2e/kg")</f>
        <v>kg CO2e/m3</v>
      </c>
      <c r="AB24" s="415">
        <f t="shared" si="6"/>
        <v>2.5799305579489791</v>
      </c>
      <c r="AC24" s="115" t="str">
        <f t="shared" si="7"/>
        <v>kgCO2e/litros</v>
      </c>
      <c r="AD24" s="79" t="s">
        <v>478</v>
      </c>
      <c r="AE24" s="82" t="s">
        <v>387</v>
      </c>
      <c r="AF24" s="402" t="s">
        <v>480</v>
      </c>
    </row>
  </sheetData>
  <sheetProtection algorithmName="SHA-512" hashValue="0a7hMEymWnzpguieJFQsZUwEOtDVWDT/zq9FxrATueHw6l662aoR7599t+G2UI4bkwBYTrqhHFNfVTYlFFAMwA==" saltValue="X28nWrpke60kriYnqJrF6w==" spinCount="100000" sheet="1" objects="1" scenarios="1" autoFilter="0"/>
  <autoFilter ref="B15:AF24" xr:uid="{00000000-0001-0000-0500-000000000000}"/>
  <mergeCells count="2">
    <mergeCell ref="T14:W14"/>
    <mergeCell ref="X14:AC14"/>
  </mergeCells>
  <phoneticPr fontId="4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1:P59"/>
  <sheetViews>
    <sheetView showGridLines="0" workbookViewId="0"/>
  </sheetViews>
  <sheetFormatPr baseColWidth="10" defaultColWidth="8" defaultRowHeight="13.2"/>
  <cols>
    <col min="1" max="1" width="2.88671875" style="3" customWidth="1"/>
    <col min="2" max="2" width="5.109375" style="3" customWidth="1"/>
    <col min="3" max="3" width="16" style="3" customWidth="1"/>
    <col min="4" max="4" width="12.5546875" style="3" customWidth="1"/>
    <col min="5" max="5" width="14.5546875" style="3" customWidth="1"/>
    <col min="6" max="14" width="11.5546875" style="3" customWidth="1"/>
    <col min="15" max="15" width="8" style="3"/>
    <col min="16" max="16" width="9.109375" style="3" bestFit="1" customWidth="1"/>
    <col min="17" max="16384" width="8" style="3"/>
  </cols>
  <sheetData>
    <row r="1" spans="2:16" ht="9.75" customHeight="1"/>
    <row r="2" spans="2:16" ht="40.65" customHeight="1">
      <c r="B2" s="529" t="s">
        <v>481</v>
      </c>
      <c r="C2" s="530"/>
      <c r="D2" s="530"/>
      <c r="E2" s="530"/>
      <c r="F2" s="530"/>
      <c r="G2" s="530"/>
      <c r="H2" s="530"/>
      <c r="I2" s="530"/>
      <c r="J2" s="530"/>
      <c r="K2" s="530"/>
      <c r="L2" s="530"/>
      <c r="M2" s="530"/>
      <c r="N2" s="531"/>
    </row>
    <row r="3" spans="2:16" ht="12.9" customHeight="1">
      <c r="B3" s="532" t="s">
        <v>482</v>
      </c>
      <c r="C3" s="533"/>
      <c r="D3" s="536" t="s">
        <v>483</v>
      </c>
      <c r="E3" s="537"/>
      <c r="F3" s="540" t="s">
        <v>484</v>
      </c>
      <c r="G3" s="541"/>
      <c r="H3" s="542"/>
      <c r="I3" s="540" t="s">
        <v>485</v>
      </c>
      <c r="J3" s="541"/>
      <c r="K3" s="542"/>
      <c r="L3" s="540" t="s">
        <v>486</v>
      </c>
      <c r="M3" s="541"/>
      <c r="N3" s="542"/>
    </row>
    <row r="4" spans="2:16" ht="41.4" customHeight="1">
      <c r="B4" s="534"/>
      <c r="C4" s="535"/>
      <c r="D4" s="538"/>
      <c r="E4" s="539"/>
      <c r="F4" s="4" t="s">
        <v>487</v>
      </c>
      <c r="G4" s="5" t="s">
        <v>488</v>
      </c>
      <c r="H4" s="5" t="s">
        <v>489</v>
      </c>
      <c r="I4" s="6" t="s">
        <v>487</v>
      </c>
      <c r="J4" s="5" t="s">
        <v>488</v>
      </c>
      <c r="K4" s="5" t="s">
        <v>489</v>
      </c>
      <c r="L4" s="6" t="s">
        <v>487</v>
      </c>
      <c r="M4" s="5" t="s">
        <v>488</v>
      </c>
      <c r="N4" s="5" t="s">
        <v>489</v>
      </c>
    </row>
    <row r="5" spans="2:16" ht="13.5" customHeight="1">
      <c r="B5" s="543" t="s">
        <v>426</v>
      </c>
      <c r="C5" s="544"/>
      <c r="D5" s="545" t="s">
        <v>490</v>
      </c>
      <c r="E5" s="546"/>
      <c r="F5" s="9">
        <v>73300</v>
      </c>
      <c r="G5" s="10">
        <v>71100</v>
      </c>
      <c r="H5" s="10">
        <v>75500</v>
      </c>
      <c r="I5" s="11">
        <v>10</v>
      </c>
      <c r="J5" s="12">
        <v>3</v>
      </c>
      <c r="K5" s="12">
        <v>30</v>
      </c>
      <c r="L5" s="13">
        <v>0.6</v>
      </c>
      <c r="M5" s="14">
        <v>0.2</v>
      </c>
      <c r="N5" s="12">
        <v>2</v>
      </c>
    </row>
    <row r="6" spans="2:16" ht="13.65" customHeight="1">
      <c r="B6" s="543" t="s">
        <v>427</v>
      </c>
      <c r="C6" s="544"/>
      <c r="D6" s="545" t="s">
        <v>491</v>
      </c>
      <c r="E6" s="546"/>
      <c r="F6" s="15">
        <v>77000</v>
      </c>
      <c r="G6" s="10">
        <v>69300</v>
      </c>
      <c r="H6" s="10">
        <v>85400</v>
      </c>
      <c r="I6" s="11">
        <v>10</v>
      </c>
      <c r="J6" s="12">
        <v>3</v>
      </c>
      <c r="K6" s="12">
        <v>30</v>
      </c>
      <c r="L6" s="13">
        <v>0.6</v>
      </c>
      <c r="M6" s="14">
        <v>0.2</v>
      </c>
      <c r="N6" s="12">
        <v>2</v>
      </c>
      <c r="P6" s="16"/>
    </row>
    <row r="7" spans="2:16" ht="12.6" customHeight="1">
      <c r="B7" s="543" t="s">
        <v>428</v>
      </c>
      <c r="C7" s="544"/>
      <c r="D7" s="545" t="s">
        <v>492</v>
      </c>
      <c r="E7" s="546"/>
      <c r="F7" s="17">
        <v>64200</v>
      </c>
      <c r="G7" s="10">
        <v>58300</v>
      </c>
      <c r="H7" s="10">
        <v>70400</v>
      </c>
      <c r="I7" s="11">
        <v>10</v>
      </c>
      <c r="J7" s="12">
        <v>3</v>
      </c>
      <c r="K7" s="12">
        <v>30</v>
      </c>
      <c r="L7" s="13">
        <v>0.6</v>
      </c>
      <c r="M7" s="14">
        <v>0.2</v>
      </c>
      <c r="N7" s="12">
        <v>2</v>
      </c>
    </row>
    <row r="8" spans="2:16" ht="27.6" customHeight="1">
      <c r="B8" s="547" t="s">
        <v>110</v>
      </c>
      <c r="C8" s="18" t="s">
        <v>396</v>
      </c>
      <c r="D8" s="550" t="s">
        <v>493</v>
      </c>
      <c r="E8" s="19" t="s">
        <v>494</v>
      </c>
      <c r="F8" s="17">
        <v>69300</v>
      </c>
      <c r="G8" s="10">
        <v>67500</v>
      </c>
      <c r="H8" s="10">
        <v>73000</v>
      </c>
      <c r="I8" s="11">
        <v>10</v>
      </c>
      <c r="J8" s="12">
        <v>3</v>
      </c>
      <c r="K8" s="12">
        <v>30</v>
      </c>
      <c r="L8" s="13">
        <v>0.6</v>
      </c>
      <c r="M8" s="14">
        <v>0.2</v>
      </c>
      <c r="N8" s="12">
        <v>2</v>
      </c>
    </row>
    <row r="9" spans="2:16" ht="27.6" customHeight="1">
      <c r="B9" s="548"/>
      <c r="C9" s="20" t="s">
        <v>429</v>
      </c>
      <c r="D9" s="551"/>
      <c r="E9" s="19" t="s">
        <v>495</v>
      </c>
      <c r="F9" s="17">
        <v>70000</v>
      </c>
      <c r="G9" s="10">
        <v>67500</v>
      </c>
      <c r="H9" s="10">
        <v>73000</v>
      </c>
      <c r="I9" s="11">
        <v>10</v>
      </c>
      <c r="J9" s="12">
        <v>3</v>
      </c>
      <c r="K9" s="12">
        <v>30</v>
      </c>
      <c r="L9" s="13">
        <v>0.6</v>
      </c>
      <c r="M9" s="14">
        <v>0.2</v>
      </c>
      <c r="N9" s="12">
        <v>2</v>
      </c>
    </row>
    <row r="10" spans="2:16" ht="27.6" customHeight="1">
      <c r="B10" s="549"/>
      <c r="C10" s="20" t="s">
        <v>430</v>
      </c>
      <c r="D10" s="552"/>
      <c r="E10" s="19" t="s">
        <v>496</v>
      </c>
      <c r="F10" s="17">
        <v>70000</v>
      </c>
      <c r="G10" s="10">
        <v>67500</v>
      </c>
      <c r="H10" s="10">
        <v>73000</v>
      </c>
      <c r="I10" s="11">
        <v>10</v>
      </c>
      <c r="J10" s="12">
        <v>3</v>
      </c>
      <c r="K10" s="12">
        <v>30</v>
      </c>
      <c r="L10" s="13">
        <v>0.6</v>
      </c>
      <c r="M10" s="14">
        <v>0.2</v>
      </c>
      <c r="N10" s="12">
        <v>2</v>
      </c>
    </row>
    <row r="11" spans="2:16" ht="21.75" customHeight="1">
      <c r="B11" s="543" t="s">
        <v>431</v>
      </c>
      <c r="C11" s="544"/>
      <c r="D11" s="553" t="s">
        <v>497</v>
      </c>
      <c r="E11" s="554"/>
      <c r="F11" s="17">
        <v>71500</v>
      </c>
      <c r="G11" s="10">
        <v>69700</v>
      </c>
      <c r="H11" s="10">
        <v>74400</v>
      </c>
      <c r="I11" s="11">
        <v>10</v>
      </c>
      <c r="J11" s="12">
        <v>3</v>
      </c>
      <c r="K11" s="12">
        <v>30</v>
      </c>
      <c r="L11" s="13">
        <v>0.6</v>
      </c>
      <c r="M11" s="14">
        <v>0.2</v>
      </c>
      <c r="N11" s="12">
        <v>2</v>
      </c>
    </row>
    <row r="12" spans="2:16" ht="12.6" customHeight="1">
      <c r="B12" s="555" t="s">
        <v>410</v>
      </c>
      <c r="C12" s="556"/>
      <c r="D12" s="557" t="s">
        <v>411</v>
      </c>
      <c r="E12" s="558"/>
      <c r="F12" s="9">
        <v>71900</v>
      </c>
      <c r="G12" s="10">
        <v>70800</v>
      </c>
      <c r="H12" s="10">
        <v>73700</v>
      </c>
      <c r="I12" s="11">
        <v>10</v>
      </c>
      <c r="J12" s="12">
        <v>3</v>
      </c>
      <c r="K12" s="12">
        <v>30</v>
      </c>
      <c r="L12" s="13">
        <v>0.6</v>
      </c>
      <c r="M12" s="14">
        <v>0.2</v>
      </c>
      <c r="N12" s="12">
        <v>2</v>
      </c>
    </row>
    <row r="13" spans="2:16" ht="21.75" customHeight="1">
      <c r="B13" s="543" t="s">
        <v>432</v>
      </c>
      <c r="C13" s="544"/>
      <c r="D13" s="553" t="s">
        <v>498</v>
      </c>
      <c r="E13" s="554"/>
      <c r="F13" s="9">
        <v>73300</v>
      </c>
      <c r="G13" s="10">
        <v>67800</v>
      </c>
      <c r="H13" s="10">
        <v>79200</v>
      </c>
      <c r="I13" s="11">
        <v>10</v>
      </c>
      <c r="J13" s="12">
        <v>3</v>
      </c>
      <c r="K13" s="12">
        <v>30</v>
      </c>
      <c r="L13" s="13">
        <v>0.6</v>
      </c>
      <c r="M13" s="14">
        <v>0.2</v>
      </c>
      <c r="N13" s="12">
        <v>2</v>
      </c>
    </row>
    <row r="14" spans="2:16" ht="12.6" customHeight="1">
      <c r="B14" s="555" t="s">
        <v>416</v>
      </c>
      <c r="C14" s="556"/>
      <c r="D14" s="557" t="s">
        <v>499</v>
      </c>
      <c r="E14" s="558"/>
      <c r="F14" s="9">
        <v>74100</v>
      </c>
      <c r="G14" s="10">
        <v>72600</v>
      </c>
      <c r="H14" s="10">
        <v>74800</v>
      </c>
      <c r="I14" s="11">
        <v>10</v>
      </c>
      <c r="J14" s="12">
        <v>3</v>
      </c>
      <c r="K14" s="12">
        <v>30</v>
      </c>
      <c r="L14" s="13">
        <v>0.6</v>
      </c>
      <c r="M14" s="14">
        <v>0.2</v>
      </c>
      <c r="N14" s="12">
        <v>2</v>
      </c>
    </row>
    <row r="15" spans="2:16" ht="12.6" customHeight="1">
      <c r="B15" s="555" t="s">
        <v>418</v>
      </c>
      <c r="C15" s="556"/>
      <c r="D15" s="557" t="s">
        <v>419</v>
      </c>
      <c r="E15" s="558"/>
      <c r="F15" s="9">
        <v>77400</v>
      </c>
      <c r="G15" s="10">
        <v>75500</v>
      </c>
      <c r="H15" s="10">
        <v>78800</v>
      </c>
      <c r="I15" s="11">
        <v>10</v>
      </c>
      <c r="J15" s="12">
        <v>3</v>
      </c>
      <c r="K15" s="12">
        <v>30</v>
      </c>
      <c r="L15" s="13">
        <v>0.6</v>
      </c>
      <c r="M15" s="14">
        <v>0.2</v>
      </c>
      <c r="N15" s="12">
        <v>2</v>
      </c>
    </row>
    <row r="16" spans="2:16" ht="21.75" customHeight="1">
      <c r="B16" s="555" t="s">
        <v>433</v>
      </c>
      <c r="C16" s="556"/>
      <c r="D16" s="553" t="s">
        <v>409</v>
      </c>
      <c r="E16" s="554"/>
      <c r="F16" s="9">
        <v>63100</v>
      </c>
      <c r="G16" s="10">
        <v>61600</v>
      </c>
      <c r="H16" s="10">
        <v>65600</v>
      </c>
      <c r="I16" s="11">
        <v>5</v>
      </c>
      <c r="J16" s="14">
        <v>1.5</v>
      </c>
      <c r="K16" s="12">
        <v>15</v>
      </c>
      <c r="L16" s="13">
        <v>0.1</v>
      </c>
      <c r="M16" s="21">
        <v>0.03</v>
      </c>
      <c r="N16" s="14">
        <v>0.3</v>
      </c>
    </row>
    <row r="17" spans="2:14" ht="12.6" customHeight="1">
      <c r="B17" s="543" t="s">
        <v>434</v>
      </c>
      <c r="C17" s="544"/>
      <c r="D17" s="553" t="s">
        <v>500</v>
      </c>
      <c r="E17" s="554"/>
      <c r="F17" s="9">
        <v>61600</v>
      </c>
      <c r="G17" s="10">
        <v>56500</v>
      </c>
      <c r="H17" s="10">
        <v>68600</v>
      </c>
      <c r="I17" s="11">
        <v>5</v>
      </c>
      <c r="J17" s="14">
        <v>1.5</v>
      </c>
      <c r="K17" s="12">
        <v>15</v>
      </c>
      <c r="L17" s="13">
        <v>0.1</v>
      </c>
      <c r="M17" s="21">
        <v>0.03</v>
      </c>
      <c r="N17" s="14">
        <v>0.3</v>
      </c>
    </row>
    <row r="18" spans="2:14" ht="18" customHeight="1">
      <c r="B18" s="555" t="s">
        <v>101</v>
      </c>
      <c r="C18" s="556"/>
      <c r="D18" s="553" t="s">
        <v>382</v>
      </c>
      <c r="E18" s="554"/>
      <c r="F18" s="9">
        <v>73300</v>
      </c>
      <c r="G18" s="10">
        <v>69300</v>
      </c>
      <c r="H18" s="10">
        <v>76300</v>
      </c>
      <c r="I18" s="11">
        <v>10</v>
      </c>
      <c r="J18" s="12">
        <v>3</v>
      </c>
      <c r="K18" s="12">
        <v>30</v>
      </c>
      <c r="L18" s="13">
        <v>0.6</v>
      </c>
      <c r="M18" s="14">
        <v>0.2</v>
      </c>
      <c r="N18" s="12">
        <v>2</v>
      </c>
    </row>
    <row r="19" spans="2:14" ht="12.6" customHeight="1">
      <c r="B19" s="543" t="s">
        <v>435</v>
      </c>
      <c r="C19" s="544"/>
      <c r="D19" s="553" t="s">
        <v>501</v>
      </c>
      <c r="E19" s="554"/>
      <c r="F19" s="9">
        <v>80700</v>
      </c>
      <c r="G19" s="10">
        <v>73000</v>
      </c>
      <c r="H19" s="10">
        <v>89900</v>
      </c>
      <c r="I19" s="11">
        <v>10</v>
      </c>
      <c r="J19" s="12">
        <v>3</v>
      </c>
      <c r="K19" s="12">
        <v>30</v>
      </c>
      <c r="L19" s="13">
        <v>0.6</v>
      </c>
      <c r="M19" s="14">
        <v>0.2</v>
      </c>
      <c r="N19" s="12">
        <v>2</v>
      </c>
    </row>
    <row r="20" spans="2:14" ht="12.6" customHeight="1">
      <c r="B20" s="543" t="s">
        <v>238</v>
      </c>
      <c r="C20" s="544"/>
      <c r="D20" s="553" t="s">
        <v>502</v>
      </c>
      <c r="E20" s="554"/>
      <c r="F20" s="9">
        <v>73300</v>
      </c>
      <c r="G20" s="10">
        <v>71900</v>
      </c>
      <c r="H20" s="10">
        <v>75200</v>
      </c>
      <c r="I20" s="11">
        <v>10</v>
      </c>
      <c r="J20" s="12">
        <v>3</v>
      </c>
      <c r="K20" s="12">
        <v>30</v>
      </c>
      <c r="L20" s="13">
        <v>0.6</v>
      </c>
      <c r="M20" s="14">
        <v>0.2</v>
      </c>
      <c r="N20" s="12">
        <v>2</v>
      </c>
    </row>
    <row r="21" spans="2:14" ht="12.6" customHeight="1">
      <c r="B21" s="555" t="s">
        <v>413</v>
      </c>
      <c r="C21" s="556"/>
      <c r="D21" s="553" t="s">
        <v>414</v>
      </c>
      <c r="E21" s="554"/>
      <c r="F21" s="17">
        <v>97500</v>
      </c>
      <c r="G21" s="10">
        <v>82900</v>
      </c>
      <c r="H21" s="10">
        <v>115000</v>
      </c>
      <c r="I21" s="11">
        <v>10</v>
      </c>
      <c r="J21" s="12">
        <v>3</v>
      </c>
      <c r="K21" s="12">
        <v>30</v>
      </c>
      <c r="L21" s="13">
        <v>0.6</v>
      </c>
      <c r="M21" s="14">
        <v>0.2</v>
      </c>
      <c r="N21" s="12">
        <v>2</v>
      </c>
    </row>
    <row r="22" spans="2:14" ht="30.9" customHeight="1">
      <c r="B22" s="543" t="s">
        <v>436</v>
      </c>
      <c r="C22" s="544"/>
      <c r="D22" s="553" t="s">
        <v>503</v>
      </c>
      <c r="E22" s="554"/>
      <c r="F22" s="9">
        <v>73300</v>
      </c>
      <c r="G22" s="10">
        <v>68900</v>
      </c>
      <c r="H22" s="10">
        <v>76600</v>
      </c>
      <c r="I22" s="11">
        <v>10</v>
      </c>
      <c r="J22" s="12">
        <v>3</v>
      </c>
      <c r="K22" s="12">
        <v>30</v>
      </c>
      <c r="L22" s="13">
        <v>0.6</v>
      </c>
      <c r="M22" s="14">
        <v>0.2</v>
      </c>
      <c r="N22" s="12">
        <v>2</v>
      </c>
    </row>
    <row r="23" spans="2:14" ht="19.5" customHeight="1">
      <c r="B23" s="547" t="s">
        <v>504</v>
      </c>
      <c r="C23" s="77" t="s">
        <v>113</v>
      </c>
      <c r="D23" s="559" t="s">
        <v>505</v>
      </c>
      <c r="E23" s="22" t="s">
        <v>406</v>
      </c>
      <c r="F23" s="17">
        <v>57600</v>
      </c>
      <c r="G23" s="10">
        <v>48200</v>
      </c>
      <c r="H23" s="10">
        <v>69000</v>
      </c>
      <c r="I23" s="11">
        <v>5</v>
      </c>
      <c r="J23" s="14">
        <v>1.5</v>
      </c>
      <c r="K23" s="12">
        <v>15</v>
      </c>
      <c r="L23" s="13">
        <v>0.1</v>
      </c>
      <c r="M23" s="21">
        <v>0.03</v>
      </c>
      <c r="N23" s="14">
        <v>0.3</v>
      </c>
    </row>
    <row r="24" spans="2:14" ht="19.5" customHeight="1">
      <c r="B24" s="548"/>
      <c r="C24" s="20" t="s">
        <v>438</v>
      </c>
      <c r="D24" s="560"/>
      <c r="E24" s="22" t="s">
        <v>506</v>
      </c>
      <c r="F24" s="9">
        <v>73300</v>
      </c>
      <c r="G24" s="10">
        <v>72200</v>
      </c>
      <c r="H24" s="10">
        <v>74400</v>
      </c>
      <c r="I24" s="11">
        <v>10</v>
      </c>
      <c r="J24" s="12">
        <v>3</v>
      </c>
      <c r="K24" s="12">
        <v>30</v>
      </c>
      <c r="L24" s="13">
        <v>0.6</v>
      </c>
      <c r="M24" s="14">
        <v>0.2</v>
      </c>
      <c r="N24" s="12">
        <v>2</v>
      </c>
    </row>
    <row r="25" spans="2:14" ht="17.850000000000001" customHeight="1">
      <c r="B25" s="548" t="s">
        <v>507</v>
      </c>
      <c r="C25" s="23" t="s">
        <v>508</v>
      </c>
      <c r="D25" s="560"/>
      <c r="E25" s="562" t="s">
        <v>509</v>
      </c>
      <c r="F25" s="566">
        <v>73300</v>
      </c>
      <c r="G25" s="568">
        <v>72200</v>
      </c>
      <c r="H25" s="568">
        <v>74400</v>
      </c>
      <c r="I25" s="576">
        <v>10</v>
      </c>
      <c r="J25" s="574">
        <v>3</v>
      </c>
      <c r="K25" s="574">
        <v>30</v>
      </c>
      <c r="L25" s="570">
        <v>0.6</v>
      </c>
      <c r="M25" s="572">
        <v>0.2</v>
      </c>
      <c r="N25" s="574">
        <v>2</v>
      </c>
    </row>
    <row r="26" spans="2:14" ht="9.75" customHeight="1">
      <c r="B26" s="548"/>
      <c r="C26" s="24" t="s">
        <v>510</v>
      </c>
      <c r="D26" s="560"/>
      <c r="E26" s="563"/>
      <c r="F26" s="567"/>
      <c r="G26" s="569"/>
      <c r="H26" s="569"/>
      <c r="I26" s="577"/>
      <c r="J26" s="575"/>
      <c r="K26" s="575"/>
      <c r="L26" s="571"/>
      <c r="M26" s="573"/>
      <c r="N26" s="575"/>
    </row>
    <row r="27" spans="2:14" ht="27.6" customHeight="1">
      <c r="B27" s="549"/>
      <c r="C27" s="20" t="s">
        <v>440</v>
      </c>
      <c r="D27" s="561"/>
      <c r="E27" s="22" t="s">
        <v>511</v>
      </c>
      <c r="F27" s="9">
        <v>73300</v>
      </c>
      <c r="G27" s="10">
        <v>72200</v>
      </c>
      <c r="H27" s="10">
        <v>74400</v>
      </c>
      <c r="I27" s="11">
        <v>10</v>
      </c>
      <c r="J27" s="12">
        <v>3</v>
      </c>
      <c r="K27" s="12">
        <v>30</v>
      </c>
      <c r="L27" s="13">
        <v>0.6</v>
      </c>
      <c r="M27" s="14">
        <v>0.2</v>
      </c>
      <c r="N27" s="12">
        <v>2</v>
      </c>
    </row>
    <row r="28" spans="2:14" ht="12.6" customHeight="1">
      <c r="B28" s="543" t="s">
        <v>441</v>
      </c>
      <c r="C28" s="544"/>
      <c r="D28" s="564" t="s">
        <v>512</v>
      </c>
      <c r="E28" s="565"/>
      <c r="F28" s="17">
        <v>98300</v>
      </c>
      <c r="G28" s="10">
        <v>94600</v>
      </c>
      <c r="H28" s="10">
        <v>101000</v>
      </c>
      <c r="I28" s="11">
        <v>10</v>
      </c>
      <c r="J28" s="12">
        <v>3</v>
      </c>
      <c r="K28" s="12">
        <v>30</v>
      </c>
      <c r="L28" s="13">
        <v>1.5</v>
      </c>
      <c r="M28" s="14">
        <v>0.5</v>
      </c>
      <c r="N28" s="12">
        <v>5</v>
      </c>
    </row>
    <row r="29" spans="2:14" ht="12.6" customHeight="1">
      <c r="B29" s="555" t="s">
        <v>389</v>
      </c>
      <c r="C29" s="556"/>
      <c r="D29" s="564" t="s">
        <v>390</v>
      </c>
      <c r="E29" s="565"/>
      <c r="F29" s="9">
        <v>94600</v>
      </c>
      <c r="G29" s="10">
        <v>87300</v>
      </c>
      <c r="H29" s="10">
        <v>101000</v>
      </c>
      <c r="I29" s="11">
        <v>10</v>
      </c>
      <c r="J29" s="12">
        <v>3</v>
      </c>
      <c r="K29" s="12">
        <v>30</v>
      </c>
      <c r="L29" s="13">
        <v>1.5</v>
      </c>
      <c r="M29" s="14">
        <v>0.5</v>
      </c>
      <c r="N29" s="12">
        <v>5</v>
      </c>
    </row>
    <row r="30" spans="2:14" ht="19.5" customHeight="1">
      <c r="B30" s="543" t="s">
        <v>393</v>
      </c>
      <c r="C30" s="544"/>
      <c r="D30" s="564" t="s">
        <v>513</v>
      </c>
      <c r="E30" s="565"/>
      <c r="F30" s="9">
        <v>94600</v>
      </c>
      <c r="G30" s="10">
        <v>89500</v>
      </c>
      <c r="H30" s="10">
        <v>99700</v>
      </c>
      <c r="I30" s="11">
        <v>10</v>
      </c>
      <c r="J30" s="12">
        <v>3</v>
      </c>
      <c r="K30" s="12">
        <v>30</v>
      </c>
      <c r="L30" s="13">
        <v>1.5</v>
      </c>
      <c r="M30" s="14">
        <v>0.5</v>
      </c>
      <c r="N30" s="12">
        <v>5</v>
      </c>
    </row>
    <row r="31" spans="2:14" ht="19.5" customHeight="1">
      <c r="B31" s="7" t="s">
        <v>514</v>
      </c>
      <c r="C31" s="8" t="s">
        <v>515</v>
      </c>
      <c r="D31" s="564" t="s">
        <v>516</v>
      </c>
      <c r="E31" s="565"/>
      <c r="F31" s="9">
        <v>96100</v>
      </c>
      <c r="G31" s="10">
        <v>92800</v>
      </c>
      <c r="H31" s="10">
        <v>100000</v>
      </c>
      <c r="I31" s="11">
        <v>10</v>
      </c>
      <c r="J31" s="12">
        <v>3</v>
      </c>
      <c r="K31" s="12">
        <v>30</v>
      </c>
      <c r="L31" s="13">
        <v>1.5</v>
      </c>
      <c r="M31" s="14">
        <v>0.5</v>
      </c>
      <c r="N31" s="12">
        <v>5</v>
      </c>
    </row>
    <row r="32" spans="2:14" ht="12.6" customHeight="1">
      <c r="B32" s="543" t="s">
        <v>443</v>
      </c>
      <c r="C32" s="544"/>
      <c r="D32" s="564" t="s">
        <v>517</v>
      </c>
      <c r="E32" s="565"/>
      <c r="F32" s="9">
        <v>101000</v>
      </c>
      <c r="G32" s="10">
        <v>90900</v>
      </c>
      <c r="H32" s="10">
        <v>115000</v>
      </c>
      <c r="I32" s="11">
        <v>10</v>
      </c>
      <c r="J32" s="12">
        <v>3</v>
      </c>
      <c r="K32" s="12">
        <v>30</v>
      </c>
      <c r="L32" s="13">
        <v>1.5</v>
      </c>
      <c r="M32" s="14">
        <v>0.5</v>
      </c>
      <c r="N32" s="12">
        <v>5</v>
      </c>
    </row>
    <row r="33" spans="2:14" ht="19.5" customHeight="1">
      <c r="B33" s="543" t="s">
        <v>444</v>
      </c>
      <c r="C33" s="544"/>
      <c r="D33" s="564" t="s">
        <v>518</v>
      </c>
      <c r="E33" s="565"/>
      <c r="F33" s="9">
        <v>107000</v>
      </c>
      <c r="G33" s="10">
        <v>90200</v>
      </c>
      <c r="H33" s="10">
        <v>125000</v>
      </c>
      <c r="I33" s="11">
        <v>10</v>
      </c>
      <c r="J33" s="12">
        <v>3</v>
      </c>
      <c r="K33" s="12">
        <v>30</v>
      </c>
      <c r="L33" s="13">
        <v>1.5</v>
      </c>
      <c r="M33" s="14">
        <v>0.5</v>
      </c>
      <c r="N33" s="12">
        <v>5</v>
      </c>
    </row>
    <row r="34" spans="2:14" ht="19.5" customHeight="1">
      <c r="B34" s="7" t="s">
        <v>519</v>
      </c>
      <c r="C34" s="8" t="s">
        <v>520</v>
      </c>
      <c r="D34" s="564" t="s">
        <v>521</v>
      </c>
      <c r="E34" s="565"/>
      <c r="F34" s="17">
        <v>97500</v>
      </c>
      <c r="G34" s="10">
        <v>87300</v>
      </c>
      <c r="H34" s="10">
        <v>109000</v>
      </c>
      <c r="I34" s="25">
        <v>10</v>
      </c>
      <c r="J34" s="12">
        <v>3</v>
      </c>
      <c r="K34" s="12">
        <v>30</v>
      </c>
      <c r="L34" s="25">
        <v>1.5</v>
      </c>
      <c r="M34" s="14">
        <v>0.5</v>
      </c>
      <c r="N34" s="12">
        <v>5</v>
      </c>
    </row>
    <row r="35" spans="2:14" ht="19.5" customHeight="1">
      <c r="B35" s="543" t="s">
        <v>446</v>
      </c>
      <c r="C35" s="544"/>
      <c r="D35" s="564" t="s">
        <v>522</v>
      </c>
      <c r="E35" s="565"/>
      <c r="F35" s="9">
        <v>97500</v>
      </c>
      <c r="G35" s="10">
        <v>87300</v>
      </c>
      <c r="H35" s="10">
        <v>109000</v>
      </c>
      <c r="I35" s="11">
        <v>10</v>
      </c>
      <c r="J35" s="12">
        <v>3</v>
      </c>
      <c r="K35" s="12">
        <v>30</v>
      </c>
      <c r="L35" s="25">
        <v>1.5</v>
      </c>
      <c r="M35" s="14">
        <v>0.5</v>
      </c>
      <c r="N35" s="12">
        <v>5</v>
      </c>
    </row>
    <row r="36" spans="2:14" ht="43.5" customHeight="1">
      <c r="B36" s="580" t="s">
        <v>447</v>
      </c>
      <c r="C36" s="20" t="s">
        <v>448</v>
      </c>
      <c r="D36" s="582" t="s">
        <v>523</v>
      </c>
      <c r="E36" s="22" t="s">
        <v>524</v>
      </c>
      <c r="F36" s="17">
        <v>107000</v>
      </c>
      <c r="G36" s="10">
        <v>95700</v>
      </c>
      <c r="H36" s="10">
        <v>119000</v>
      </c>
      <c r="I36" s="11">
        <v>10</v>
      </c>
      <c r="J36" s="12">
        <v>3</v>
      </c>
      <c r="K36" s="12">
        <v>30</v>
      </c>
      <c r="L36" s="13">
        <v>1.5</v>
      </c>
      <c r="M36" s="14">
        <v>0.5</v>
      </c>
      <c r="N36" s="12">
        <v>4</v>
      </c>
    </row>
    <row r="37" spans="2:14" ht="19.5" customHeight="1">
      <c r="B37" s="581"/>
      <c r="C37" s="20" t="s">
        <v>449</v>
      </c>
      <c r="D37" s="583"/>
      <c r="E37" s="22" t="s">
        <v>525</v>
      </c>
      <c r="F37" s="17">
        <v>107000</v>
      </c>
      <c r="G37" s="10">
        <v>95700</v>
      </c>
      <c r="H37" s="10">
        <v>119000</v>
      </c>
      <c r="I37" s="11">
        <v>5</v>
      </c>
      <c r="J37" s="14">
        <v>1.5</v>
      </c>
      <c r="K37" s="12">
        <v>15</v>
      </c>
      <c r="L37" s="13">
        <v>0.1</v>
      </c>
      <c r="M37" s="21">
        <v>0.03</v>
      </c>
      <c r="N37" s="14">
        <v>0.3</v>
      </c>
    </row>
    <row r="38" spans="2:14" ht="12.6" customHeight="1">
      <c r="B38" s="578" t="s">
        <v>450</v>
      </c>
      <c r="C38" s="579"/>
      <c r="D38" s="545" t="s">
        <v>526</v>
      </c>
      <c r="E38" s="546"/>
      <c r="F38" s="26">
        <v>80700</v>
      </c>
      <c r="G38" s="27">
        <v>68200</v>
      </c>
      <c r="H38" s="27">
        <v>95300</v>
      </c>
      <c r="I38" s="28">
        <v>10</v>
      </c>
      <c r="J38" s="29">
        <v>30</v>
      </c>
      <c r="K38" s="29">
        <v>30</v>
      </c>
      <c r="L38" s="28">
        <v>1.5</v>
      </c>
      <c r="M38" s="30">
        <v>0.5</v>
      </c>
      <c r="N38" s="29">
        <v>5</v>
      </c>
    </row>
    <row r="39" spans="2:14" ht="27.6" customHeight="1">
      <c r="B39" s="584" t="s">
        <v>451</v>
      </c>
      <c r="C39" s="31" t="s">
        <v>452</v>
      </c>
      <c r="D39" s="582" t="s">
        <v>527</v>
      </c>
      <c r="E39" s="22" t="s">
        <v>528</v>
      </c>
      <c r="F39" s="17">
        <v>44400</v>
      </c>
      <c r="G39" s="10">
        <v>37300</v>
      </c>
      <c r="H39" s="10">
        <v>54100</v>
      </c>
      <c r="I39" s="11">
        <v>5</v>
      </c>
      <c r="J39" s="14">
        <v>1.5</v>
      </c>
      <c r="K39" s="12">
        <v>15</v>
      </c>
      <c r="L39" s="13">
        <v>0.1</v>
      </c>
      <c r="M39" s="21">
        <v>0.03</v>
      </c>
      <c r="N39" s="14">
        <v>0.3</v>
      </c>
    </row>
    <row r="40" spans="2:14" ht="27.6" customHeight="1">
      <c r="B40" s="585"/>
      <c r="C40" s="32" t="s">
        <v>453</v>
      </c>
      <c r="D40" s="587"/>
      <c r="E40" s="22" t="s">
        <v>529</v>
      </c>
      <c r="F40" s="17">
        <v>44400</v>
      </c>
      <c r="G40" s="10">
        <v>37300</v>
      </c>
      <c r="H40" s="10">
        <v>54100</v>
      </c>
      <c r="I40" s="11">
        <v>5</v>
      </c>
      <c r="J40" s="14">
        <v>1.5</v>
      </c>
      <c r="K40" s="12">
        <v>15</v>
      </c>
      <c r="L40" s="13">
        <v>0.1</v>
      </c>
      <c r="M40" s="21">
        <v>0.03</v>
      </c>
      <c r="N40" s="14">
        <v>0.3</v>
      </c>
    </row>
    <row r="41" spans="2:14" ht="19.5" customHeight="1">
      <c r="B41" s="585"/>
      <c r="C41" s="31" t="s">
        <v>111</v>
      </c>
      <c r="D41" s="587"/>
      <c r="E41" s="22" t="s">
        <v>398</v>
      </c>
      <c r="F41" s="26">
        <v>260000</v>
      </c>
      <c r="G41" s="27">
        <v>219000</v>
      </c>
      <c r="H41" s="27">
        <v>308000</v>
      </c>
      <c r="I41" s="33">
        <v>5</v>
      </c>
      <c r="J41" s="30">
        <v>1.5</v>
      </c>
      <c r="K41" s="29">
        <v>15</v>
      </c>
      <c r="L41" s="34">
        <v>0.1</v>
      </c>
      <c r="M41" s="35">
        <v>0.03</v>
      </c>
      <c r="N41" s="30">
        <v>0.3</v>
      </c>
    </row>
    <row r="42" spans="2:14" ht="35.4" customHeight="1">
      <c r="B42" s="586"/>
      <c r="C42" s="32" t="s">
        <v>454</v>
      </c>
      <c r="D42" s="583"/>
      <c r="E42" s="22" t="s">
        <v>530</v>
      </c>
      <c r="F42" s="17">
        <v>182000</v>
      </c>
      <c r="G42" s="10">
        <v>145000</v>
      </c>
      <c r="H42" s="10">
        <v>202000</v>
      </c>
      <c r="I42" s="11">
        <v>5</v>
      </c>
      <c r="J42" s="14">
        <v>1.5</v>
      </c>
      <c r="K42" s="12">
        <v>15</v>
      </c>
      <c r="L42" s="13">
        <v>0.1</v>
      </c>
      <c r="M42" s="21">
        <v>0.03</v>
      </c>
      <c r="N42" s="14">
        <v>0.3</v>
      </c>
    </row>
    <row r="43" spans="2:14" ht="12.6" customHeight="1">
      <c r="B43" s="588" t="s">
        <v>115</v>
      </c>
      <c r="C43" s="589"/>
      <c r="D43" s="545" t="s">
        <v>531</v>
      </c>
      <c r="E43" s="546"/>
      <c r="F43" s="36">
        <v>56100</v>
      </c>
      <c r="G43" s="27">
        <v>54300</v>
      </c>
      <c r="H43" s="27">
        <v>58300</v>
      </c>
      <c r="I43" s="33">
        <v>5</v>
      </c>
      <c r="J43" s="30">
        <v>1.5</v>
      </c>
      <c r="K43" s="29">
        <v>15</v>
      </c>
      <c r="L43" s="34">
        <v>0.1</v>
      </c>
      <c r="M43" s="35">
        <v>0.03</v>
      </c>
      <c r="N43" s="30">
        <v>0.3</v>
      </c>
    </row>
    <row r="44" spans="2:14" ht="35.4" customHeight="1">
      <c r="B44" s="578" t="s">
        <v>455</v>
      </c>
      <c r="C44" s="579"/>
      <c r="D44" s="545" t="s">
        <v>532</v>
      </c>
      <c r="E44" s="546"/>
      <c r="F44" s="17">
        <v>91700</v>
      </c>
      <c r="G44" s="10">
        <v>73300</v>
      </c>
      <c r="H44" s="10">
        <v>121000</v>
      </c>
      <c r="I44" s="11">
        <v>300</v>
      </c>
      <c r="J44" s="12">
        <v>100</v>
      </c>
      <c r="K44" s="12">
        <v>900</v>
      </c>
      <c r="L44" s="11">
        <v>4</v>
      </c>
      <c r="M44" s="14">
        <v>1.5</v>
      </c>
      <c r="N44" s="12">
        <v>15</v>
      </c>
    </row>
    <row r="45" spans="2:14" ht="21.75" customHeight="1">
      <c r="B45" s="578" t="s">
        <v>456</v>
      </c>
      <c r="C45" s="579"/>
      <c r="D45" s="545" t="s">
        <v>533</v>
      </c>
      <c r="E45" s="546"/>
      <c r="F45" s="26">
        <v>143000</v>
      </c>
      <c r="G45" s="27">
        <v>110000</v>
      </c>
      <c r="H45" s="27">
        <v>183000</v>
      </c>
      <c r="I45" s="33">
        <v>300</v>
      </c>
      <c r="J45" s="29">
        <v>100</v>
      </c>
      <c r="K45" s="29">
        <v>900</v>
      </c>
      <c r="L45" s="33">
        <v>4</v>
      </c>
      <c r="M45" s="30">
        <v>1.5</v>
      </c>
      <c r="N45" s="29">
        <v>15</v>
      </c>
    </row>
    <row r="46" spans="2:14" ht="12.6" customHeight="1">
      <c r="B46" s="578" t="s">
        <v>457</v>
      </c>
      <c r="C46" s="579"/>
      <c r="D46" s="545" t="s">
        <v>534</v>
      </c>
      <c r="E46" s="546"/>
      <c r="F46" s="26">
        <v>73300</v>
      </c>
      <c r="G46" s="27">
        <v>72200</v>
      </c>
      <c r="H46" s="27">
        <v>74400</v>
      </c>
      <c r="I46" s="33">
        <v>300</v>
      </c>
      <c r="J46" s="29">
        <v>100</v>
      </c>
      <c r="K46" s="29">
        <v>900</v>
      </c>
      <c r="L46" s="33">
        <v>4</v>
      </c>
      <c r="M46" s="30">
        <v>1.5</v>
      </c>
      <c r="N46" s="29">
        <v>15</v>
      </c>
    </row>
    <row r="47" spans="2:14" ht="12.6" customHeight="1">
      <c r="B47" s="578" t="s">
        <v>458</v>
      </c>
      <c r="C47" s="579"/>
      <c r="D47" s="545" t="s">
        <v>535</v>
      </c>
      <c r="E47" s="546"/>
      <c r="F47" s="36">
        <v>106000</v>
      </c>
      <c r="G47" s="27">
        <v>100000</v>
      </c>
      <c r="H47" s="27">
        <v>108000</v>
      </c>
      <c r="I47" s="28">
        <v>10</v>
      </c>
      <c r="J47" s="29">
        <v>3</v>
      </c>
      <c r="K47" s="29">
        <v>30</v>
      </c>
      <c r="L47" s="28">
        <v>1.4</v>
      </c>
      <c r="M47" s="30">
        <v>0.5</v>
      </c>
      <c r="N47" s="29">
        <v>5</v>
      </c>
    </row>
    <row r="48" spans="2:14" ht="27.6" customHeight="1">
      <c r="B48" s="584" t="s">
        <v>459</v>
      </c>
      <c r="C48" s="32" t="s">
        <v>460</v>
      </c>
      <c r="D48" s="582" t="s">
        <v>536</v>
      </c>
      <c r="E48" s="22" t="s">
        <v>537</v>
      </c>
      <c r="F48" s="17">
        <v>112000</v>
      </c>
      <c r="G48" s="10">
        <v>95000</v>
      </c>
      <c r="H48" s="10">
        <v>132000</v>
      </c>
      <c r="I48" s="11">
        <v>300</v>
      </c>
      <c r="J48" s="12">
        <v>100</v>
      </c>
      <c r="K48" s="12">
        <v>900</v>
      </c>
      <c r="L48" s="11">
        <v>4</v>
      </c>
      <c r="M48" s="14">
        <v>1.5</v>
      </c>
      <c r="N48" s="12">
        <v>15</v>
      </c>
    </row>
    <row r="49" spans="2:14" ht="27.6" customHeight="1">
      <c r="B49" s="585"/>
      <c r="C49" s="32" t="s">
        <v>538</v>
      </c>
      <c r="D49" s="587"/>
      <c r="E49" s="22" t="s">
        <v>539</v>
      </c>
      <c r="F49" s="17">
        <v>95300</v>
      </c>
      <c r="G49" s="10">
        <v>80700</v>
      </c>
      <c r="H49" s="10">
        <v>110000</v>
      </c>
      <c r="I49" s="25">
        <v>3</v>
      </c>
      <c r="J49" s="12">
        <v>1</v>
      </c>
      <c r="K49" s="12">
        <v>18</v>
      </c>
      <c r="L49" s="25">
        <v>2</v>
      </c>
      <c r="M49" s="12">
        <v>1</v>
      </c>
      <c r="N49" s="12">
        <v>21</v>
      </c>
    </row>
    <row r="50" spans="2:14" ht="35.4" customHeight="1">
      <c r="B50" s="585"/>
      <c r="C50" s="32" t="s">
        <v>462</v>
      </c>
      <c r="D50" s="587"/>
      <c r="E50" s="22" t="s">
        <v>540</v>
      </c>
      <c r="F50" s="17">
        <v>100000</v>
      </c>
      <c r="G50" s="10">
        <v>84700</v>
      </c>
      <c r="H50" s="10">
        <v>117000</v>
      </c>
      <c r="I50" s="11">
        <v>300</v>
      </c>
      <c r="J50" s="12">
        <v>100</v>
      </c>
      <c r="K50" s="12">
        <v>900</v>
      </c>
      <c r="L50" s="11">
        <v>4</v>
      </c>
      <c r="M50" s="14">
        <v>1.5</v>
      </c>
      <c r="N50" s="12">
        <v>15</v>
      </c>
    </row>
    <row r="51" spans="2:14" ht="19.5" customHeight="1">
      <c r="B51" s="586"/>
      <c r="C51" s="32" t="s">
        <v>463</v>
      </c>
      <c r="D51" s="583"/>
      <c r="E51" s="22" t="s">
        <v>541</v>
      </c>
      <c r="F51" s="26">
        <v>112000</v>
      </c>
      <c r="G51" s="27">
        <v>95000</v>
      </c>
      <c r="H51" s="27">
        <v>132000</v>
      </c>
      <c r="I51" s="33">
        <v>200</v>
      </c>
      <c r="J51" s="29">
        <v>70</v>
      </c>
      <c r="K51" s="29">
        <v>600</v>
      </c>
      <c r="L51" s="33">
        <v>1</v>
      </c>
      <c r="M51" s="30">
        <v>0.3</v>
      </c>
      <c r="N51" s="29">
        <v>3</v>
      </c>
    </row>
    <row r="52" spans="2:14" ht="12.6" customHeight="1">
      <c r="B52" s="584" t="s">
        <v>464</v>
      </c>
      <c r="C52" s="37" t="s">
        <v>465</v>
      </c>
      <c r="D52" s="582" t="s">
        <v>542</v>
      </c>
      <c r="E52" s="22" t="s">
        <v>543</v>
      </c>
      <c r="F52" s="26">
        <v>70800</v>
      </c>
      <c r="G52" s="27">
        <v>59800</v>
      </c>
      <c r="H52" s="27">
        <v>84300</v>
      </c>
      <c r="I52" s="33">
        <v>10</v>
      </c>
      <c r="J52" s="29">
        <v>3</v>
      </c>
      <c r="K52" s="29">
        <v>30</v>
      </c>
      <c r="L52" s="34">
        <v>0.6</v>
      </c>
      <c r="M52" s="30">
        <v>0.2</v>
      </c>
      <c r="N52" s="29">
        <v>2</v>
      </c>
    </row>
    <row r="53" spans="2:14" ht="12.6" customHeight="1">
      <c r="B53" s="585"/>
      <c r="C53" s="37" t="s">
        <v>466</v>
      </c>
      <c r="D53" s="587"/>
      <c r="E53" s="22" t="s">
        <v>544</v>
      </c>
      <c r="F53" s="26">
        <v>70800</v>
      </c>
      <c r="G53" s="27">
        <v>59800</v>
      </c>
      <c r="H53" s="27">
        <v>84300</v>
      </c>
      <c r="I53" s="33">
        <v>10</v>
      </c>
      <c r="J53" s="29">
        <v>3</v>
      </c>
      <c r="K53" s="29">
        <v>30</v>
      </c>
      <c r="L53" s="34">
        <v>0.6</v>
      </c>
      <c r="M53" s="30">
        <v>0.2</v>
      </c>
      <c r="N53" s="29">
        <v>2</v>
      </c>
    </row>
    <row r="54" spans="2:14" ht="39.9" customHeight="1">
      <c r="B54" s="586"/>
      <c r="C54" s="32" t="s">
        <v>467</v>
      </c>
      <c r="D54" s="583"/>
      <c r="E54" s="22" t="s">
        <v>545</v>
      </c>
      <c r="F54" s="17">
        <v>79600</v>
      </c>
      <c r="G54" s="10">
        <v>67100</v>
      </c>
      <c r="H54" s="10">
        <v>95300</v>
      </c>
      <c r="I54" s="11">
        <v>10</v>
      </c>
      <c r="J54" s="12">
        <v>3</v>
      </c>
      <c r="K54" s="12">
        <v>30</v>
      </c>
      <c r="L54" s="13">
        <v>0.6</v>
      </c>
      <c r="M54" s="14">
        <v>0.2</v>
      </c>
      <c r="N54" s="12">
        <v>2</v>
      </c>
    </row>
    <row r="55" spans="2:14" ht="21.75" customHeight="1">
      <c r="B55" s="584" t="s">
        <v>468</v>
      </c>
      <c r="C55" s="32" t="s">
        <v>469</v>
      </c>
      <c r="D55" s="582" t="s">
        <v>546</v>
      </c>
      <c r="E55" s="22" t="s">
        <v>547</v>
      </c>
      <c r="F55" s="26">
        <v>54600</v>
      </c>
      <c r="G55" s="27">
        <v>46200</v>
      </c>
      <c r="H55" s="27">
        <v>66000</v>
      </c>
      <c r="I55" s="33">
        <v>5</v>
      </c>
      <c r="J55" s="30">
        <v>1.5</v>
      </c>
      <c r="K55" s="29">
        <v>15</v>
      </c>
      <c r="L55" s="34">
        <v>0.1</v>
      </c>
      <c r="M55" s="35">
        <v>0.03</v>
      </c>
      <c r="N55" s="30">
        <v>0.3</v>
      </c>
    </row>
    <row r="56" spans="2:14" ht="39.9" customHeight="1">
      <c r="B56" s="585"/>
      <c r="C56" s="32" t="s">
        <v>470</v>
      </c>
      <c r="D56" s="587"/>
      <c r="E56" s="22" t="s">
        <v>548</v>
      </c>
      <c r="F56" s="17">
        <v>54600</v>
      </c>
      <c r="G56" s="10">
        <v>46200</v>
      </c>
      <c r="H56" s="10">
        <v>66000</v>
      </c>
      <c r="I56" s="11">
        <v>5</v>
      </c>
      <c r="J56" s="14">
        <v>1.5</v>
      </c>
      <c r="K56" s="12">
        <v>15</v>
      </c>
      <c r="L56" s="13">
        <v>0.1</v>
      </c>
      <c r="M56" s="21">
        <v>0.03</v>
      </c>
      <c r="N56" s="14">
        <v>0.3</v>
      </c>
    </row>
    <row r="57" spans="2:14" ht="21.75" customHeight="1">
      <c r="B57" s="586"/>
      <c r="C57" s="32" t="s">
        <v>471</v>
      </c>
      <c r="D57" s="583"/>
      <c r="E57" s="22" t="s">
        <v>549</v>
      </c>
      <c r="F57" s="26">
        <v>54600</v>
      </c>
      <c r="G57" s="27">
        <v>46200</v>
      </c>
      <c r="H57" s="27">
        <v>66000</v>
      </c>
      <c r="I57" s="33">
        <v>5</v>
      </c>
      <c r="J57" s="30">
        <v>1.5</v>
      </c>
      <c r="K57" s="29">
        <v>15</v>
      </c>
      <c r="L57" s="34">
        <v>0.1</v>
      </c>
      <c r="M57" s="35">
        <v>0.03</v>
      </c>
      <c r="N57" s="30">
        <v>0.3</v>
      </c>
    </row>
    <row r="58" spans="2:14" ht="51.6" customHeight="1">
      <c r="B58" s="38" t="s">
        <v>550</v>
      </c>
      <c r="C58" s="32" t="s">
        <v>473</v>
      </c>
      <c r="D58" s="39" t="s">
        <v>551</v>
      </c>
      <c r="E58" s="22" t="s">
        <v>552</v>
      </c>
      <c r="F58" s="17">
        <v>100000</v>
      </c>
      <c r="G58" s="10">
        <v>84700</v>
      </c>
      <c r="H58" s="10">
        <v>117000</v>
      </c>
      <c r="I58" s="11">
        <v>300</v>
      </c>
      <c r="J58" s="12">
        <v>100</v>
      </c>
      <c r="K58" s="12">
        <v>900</v>
      </c>
      <c r="L58" s="11">
        <v>4</v>
      </c>
      <c r="M58" s="14">
        <v>1.5</v>
      </c>
      <c r="N58" s="12">
        <v>15</v>
      </c>
    </row>
    <row r="59" spans="2:14" ht="48.75" customHeight="1">
      <c r="B59" s="590" t="s">
        <v>553</v>
      </c>
      <c r="C59" s="591"/>
      <c r="D59" s="591"/>
      <c r="E59" s="591"/>
      <c r="F59" s="591"/>
      <c r="G59" s="591"/>
      <c r="H59" s="591"/>
      <c r="I59" s="591"/>
      <c r="J59" s="591"/>
      <c r="K59" s="591"/>
      <c r="L59" s="591"/>
      <c r="M59" s="591"/>
      <c r="N59" s="592"/>
    </row>
  </sheetData>
  <sheetProtection algorithmName="SHA-512" hashValue="JsbVEcUuxITXICJQavkyBCAck6w/1dBiHjHHY5ZsnG6O1tUFjEOel8gFZ5lOTgtheyohIkvmr2vBxtFbPlfkZg==" saltValue="V3johrEV+qa2B+EcAoAP0A==" spinCount="100000" sheet="1" objects="1" scenarios="1" autoFilter="0"/>
  <mergeCells count="88">
    <mergeCell ref="B59:N59"/>
    <mergeCell ref="B48:B51"/>
    <mergeCell ref="D48:D51"/>
    <mergeCell ref="B52:B54"/>
    <mergeCell ref="D52:D54"/>
    <mergeCell ref="B55:B57"/>
    <mergeCell ref="D55:D57"/>
    <mergeCell ref="B45:C45"/>
    <mergeCell ref="D45:E45"/>
    <mergeCell ref="B46:C46"/>
    <mergeCell ref="D46:E46"/>
    <mergeCell ref="B47:C47"/>
    <mergeCell ref="D47:E47"/>
    <mergeCell ref="B39:B42"/>
    <mergeCell ref="D39:D42"/>
    <mergeCell ref="B43:C43"/>
    <mergeCell ref="D43:E43"/>
    <mergeCell ref="B44:C44"/>
    <mergeCell ref="D44:E44"/>
    <mergeCell ref="B38:C38"/>
    <mergeCell ref="D38:E38"/>
    <mergeCell ref="B30:C30"/>
    <mergeCell ref="D30:E30"/>
    <mergeCell ref="D31:E31"/>
    <mergeCell ref="B32:C32"/>
    <mergeCell ref="D32:E32"/>
    <mergeCell ref="B33:C33"/>
    <mergeCell ref="D33:E33"/>
    <mergeCell ref="D34:E34"/>
    <mergeCell ref="B35:C35"/>
    <mergeCell ref="D35:E35"/>
    <mergeCell ref="B36:B37"/>
    <mergeCell ref="D36:D37"/>
    <mergeCell ref="L25:L26"/>
    <mergeCell ref="M25:M26"/>
    <mergeCell ref="N25:N26"/>
    <mergeCell ref="B28:C28"/>
    <mergeCell ref="D28:E28"/>
    <mergeCell ref="I25:I26"/>
    <mergeCell ref="J25:J26"/>
    <mergeCell ref="K25:K26"/>
    <mergeCell ref="B29:C29"/>
    <mergeCell ref="D29:E29"/>
    <mergeCell ref="F25:F26"/>
    <mergeCell ref="G25:G26"/>
    <mergeCell ref="H25:H26"/>
    <mergeCell ref="B22:C22"/>
    <mergeCell ref="D22:E22"/>
    <mergeCell ref="B23:B24"/>
    <mergeCell ref="D23:D27"/>
    <mergeCell ref="B25:B27"/>
    <mergeCell ref="E25:E26"/>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8:B10"/>
    <mergeCell ref="D8:D10"/>
    <mergeCell ref="B11:C11"/>
    <mergeCell ref="D11:E11"/>
    <mergeCell ref="B12:C12"/>
    <mergeCell ref="D12:E12"/>
    <mergeCell ref="B5:C5"/>
    <mergeCell ref="D5:E5"/>
    <mergeCell ref="B6:C6"/>
    <mergeCell ref="D6:E6"/>
    <mergeCell ref="B7:C7"/>
    <mergeCell ref="D7:E7"/>
    <mergeCell ref="B2:N2"/>
    <mergeCell ref="B3:C4"/>
    <mergeCell ref="D3:E4"/>
    <mergeCell ref="F3:H3"/>
    <mergeCell ref="I3:K3"/>
    <mergeCell ref="L3:N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E11"/>
  <sheetViews>
    <sheetView showGridLines="0" workbookViewId="0"/>
  </sheetViews>
  <sheetFormatPr baseColWidth="10" defaultColWidth="9.109375" defaultRowHeight="14.4"/>
  <cols>
    <col min="2" max="2" width="26" customWidth="1"/>
    <col min="3" max="3" width="16.109375" customWidth="1"/>
    <col min="5" max="5" width="25.88671875" customWidth="1"/>
  </cols>
  <sheetData>
    <row r="2" spans="2:5" ht="35.25" customHeight="1">
      <c r="B2" s="593" t="s">
        <v>554</v>
      </c>
      <c r="C2" s="594"/>
      <c r="D2" s="594"/>
      <c r="E2" s="595"/>
    </row>
    <row r="3" spans="2:5" ht="33" customHeight="1">
      <c r="B3" s="110" t="s">
        <v>555</v>
      </c>
      <c r="C3" s="110" t="s">
        <v>556</v>
      </c>
      <c r="D3" s="110" t="s">
        <v>424</v>
      </c>
      <c r="E3" s="110" t="s">
        <v>425</v>
      </c>
    </row>
    <row r="4" spans="2:5">
      <c r="B4" s="79" t="s">
        <v>396</v>
      </c>
      <c r="C4" s="79">
        <v>69300</v>
      </c>
      <c r="D4" s="79">
        <v>67500</v>
      </c>
      <c r="E4" s="79">
        <v>73000</v>
      </c>
    </row>
    <row r="5" spans="2:5">
      <c r="B5" s="79" t="s">
        <v>416</v>
      </c>
      <c r="C5" s="79">
        <v>74100</v>
      </c>
      <c r="D5" s="79">
        <v>72600</v>
      </c>
      <c r="E5" s="79">
        <v>74800</v>
      </c>
    </row>
    <row r="6" spans="2:5">
      <c r="B6" s="79" t="s">
        <v>433</v>
      </c>
      <c r="C6" s="79">
        <v>63100</v>
      </c>
      <c r="D6" s="79">
        <v>61600</v>
      </c>
      <c r="E6" s="79">
        <v>65600</v>
      </c>
    </row>
    <row r="7" spans="2:5">
      <c r="B7" s="79" t="s">
        <v>557</v>
      </c>
      <c r="C7" s="79">
        <v>71900</v>
      </c>
      <c r="D7" s="79">
        <v>70800</v>
      </c>
      <c r="E7" s="79">
        <v>73700</v>
      </c>
    </row>
    <row r="8" spans="2:5">
      <c r="B8" s="79" t="s">
        <v>558</v>
      </c>
      <c r="C8" s="79">
        <v>73300</v>
      </c>
      <c r="D8" s="79">
        <v>71900</v>
      </c>
      <c r="E8" s="79">
        <v>75200</v>
      </c>
    </row>
    <row r="9" spans="2:5">
      <c r="B9" s="79" t="s">
        <v>559</v>
      </c>
      <c r="C9" s="79">
        <v>56100</v>
      </c>
      <c r="D9" s="79">
        <v>54300</v>
      </c>
      <c r="E9" s="79">
        <v>58300</v>
      </c>
    </row>
    <row r="10" spans="2:5">
      <c r="B10" s="79" t="s">
        <v>428</v>
      </c>
      <c r="C10" s="79">
        <v>56100</v>
      </c>
      <c r="D10" s="79">
        <v>54300</v>
      </c>
      <c r="E10" s="79">
        <v>58300</v>
      </c>
    </row>
    <row r="11" spans="2:5" ht="64.5" customHeight="1">
      <c r="B11" s="596" t="s">
        <v>560</v>
      </c>
      <c r="C11" s="594"/>
      <c r="D11" s="594"/>
      <c r="E11" s="595"/>
    </row>
  </sheetData>
  <sheetProtection algorithmName="SHA-512" hashValue="Y3GfXhm1s7bLkbjCn/b6hKN9UBRbBq8Cv4oBDldF8NPQ0ywHBigKXhszhazDsdVQIi41QUttYyWELFVJcDXFdw==" saltValue="YK625wCh5soLFe5YisHNpQ==" spinCount="100000" sheet="1" objects="1" scenarios="1" autoFilter="0"/>
  <mergeCells count="2">
    <mergeCell ref="B2:E2"/>
    <mergeCell ref="B11:E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49</vt:i4>
      </vt:variant>
    </vt:vector>
  </HeadingPairs>
  <TitlesOfParts>
    <vt:vector size="49" baseType="lpstr">
      <vt:lpstr>INICIO</vt:lpstr>
      <vt:lpstr>RESUMEN</vt:lpstr>
      <vt:lpstr>CONTROL DE CAMBIOS</vt:lpstr>
      <vt:lpstr>1.1 Combustión estacionaria</vt:lpstr>
      <vt:lpstr>V2 CH2 T2.2</vt:lpstr>
      <vt:lpstr>V2 CH2 T2.3</vt:lpstr>
      <vt:lpstr>1.2 Combustión móvil</vt:lpstr>
      <vt:lpstr>1.1 V2 CH2 T2.4</vt:lpstr>
      <vt:lpstr>1.2 V2 CH3 T3.2.1</vt:lpstr>
      <vt:lpstr>1.2 V2 CH3 T3.2.2</vt:lpstr>
      <vt:lpstr>1.1 y 1.2CUADROA2 - BNE 2020-21</vt:lpstr>
      <vt:lpstr>V2 CH3 T3.3.1</vt:lpstr>
      <vt:lpstr>V2 CH3 T3.4.1</vt:lpstr>
      <vt:lpstr>V2 CH3 T3.5.2</vt:lpstr>
      <vt:lpstr>V2 CH3 T3.5.3</vt:lpstr>
      <vt:lpstr>V2 CH3 T3.6.4</vt:lpstr>
      <vt:lpstr>V2 CH3 T3.6.5</vt:lpstr>
      <vt:lpstr>1.3 Procesos industriales</vt:lpstr>
      <vt:lpstr>1.3 P.I. Cemento</vt:lpstr>
      <vt:lpstr>1.3 P.I. Cal</vt:lpstr>
      <vt:lpstr>1.3 P.I. Vidrio</vt:lpstr>
      <vt:lpstr>1.3 P.I. Hierro, Acero y Coque</vt:lpstr>
      <vt:lpstr>1.3 P.I. Ácido Nítrico</vt:lpstr>
      <vt:lpstr>1.4 Emisiones fugitivas</vt:lpstr>
      <vt:lpstr>1.4 AR5 CH8  T8.A.1</vt:lpstr>
      <vt:lpstr>1.4 V3 CH7 T7.8</vt:lpstr>
      <vt:lpstr>2.1 Electricidad</vt:lpstr>
      <vt:lpstr>2.2 Perdidas por T&amp;D</vt:lpstr>
      <vt:lpstr>2.3 Adq. de otras energías</vt:lpstr>
      <vt:lpstr>2.3 V2 CH2 T2.2</vt:lpstr>
      <vt:lpstr>3.1 Adq. Bienes y servicios</vt:lpstr>
      <vt:lpstr>3.1 Fertilizantes</vt:lpstr>
      <vt:lpstr>3.1 Material use</vt:lpstr>
      <vt:lpstr>3.1 WTT- fuels</vt:lpstr>
      <vt:lpstr>3.1 WTT- bioenergy</vt:lpstr>
      <vt:lpstr>3.1 Water treatment</vt:lpstr>
      <vt:lpstr>3.1 Water supply</vt:lpstr>
      <vt:lpstr>3.1 Hotel stay</vt:lpstr>
      <vt:lpstr>3.1 Homeworking</vt:lpstr>
      <vt:lpstr>3.2 Transporte de personas</vt:lpstr>
      <vt:lpstr>3.2 Business travel- air</vt:lpstr>
      <vt:lpstr>3.2 Business travel- land</vt:lpstr>
      <vt:lpstr>3.2 Passenger vehicles</vt:lpstr>
      <vt:lpstr>3.3 Transporte de carga</vt:lpstr>
      <vt:lpstr>3.3 Freighting goods</vt:lpstr>
      <vt:lpstr>3.4 Transporte de residuos</vt:lpstr>
      <vt:lpstr>3.5 Uso de productos</vt:lpstr>
      <vt:lpstr>3.6 Trat. yo disp. de residuos</vt:lpstr>
      <vt:lpstr>3.6 Waste disposal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Factores de emisión</dc:title>
  <dc:subject/>
  <dc:creator>Unknown Creator</dc:creator>
  <cp:keywords/>
  <dc:description/>
  <cp:lastModifiedBy>Huella Chile</cp:lastModifiedBy>
  <cp:revision/>
  <dcterms:created xsi:type="dcterms:W3CDTF">2024-07-18T13:15:45Z</dcterms:created>
  <dcterms:modified xsi:type="dcterms:W3CDTF">2025-03-12T14:22:23Z</dcterms:modified>
  <cp:category/>
  <cp:contentStatus/>
</cp:coreProperties>
</file>